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315" windowWidth="18675" windowHeight="8220"/>
  </bookViews>
  <sheets>
    <sheet name="NBA" sheetId="1" r:id="rId1"/>
  </sheets>
  <calcPr calcId="125725"/>
</workbook>
</file>

<file path=xl/calcChain.xml><?xml version="1.0" encoding="utf-8"?>
<calcChain xmlns="http://schemas.openxmlformats.org/spreadsheetml/2006/main">
  <c r="P155" i="1"/>
  <c r="O155"/>
  <c r="N155"/>
  <c r="F155"/>
  <c r="F154"/>
  <c r="F153"/>
  <c r="I152"/>
  <c r="F152"/>
  <c r="F151"/>
  <c r="I150"/>
  <c r="F150"/>
  <c r="F149"/>
  <c r="R148"/>
  <c r="Q148"/>
  <c r="P148"/>
  <c r="O148"/>
  <c r="F148"/>
  <c r="I147"/>
  <c r="F147"/>
  <c r="I146"/>
  <c r="M148" s="1"/>
  <c r="F146"/>
  <c r="F145"/>
  <c r="M144"/>
  <c r="F144"/>
  <c r="F143"/>
  <c r="F142"/>
  <c r="F141"/>
  <c r="F140"/>
  <c r="F139"/>
  <c r="F138"/>
  <c r="F137"/>
  <c r="F136"/>
  <c r="F135"/>
  <c r="F134"/>
  <c r="M133"/>
  <c r="F133"/>
  <c r="F132"/>
  <c r="F131"/>
  <c r="F130"/>
  <c r="F128"/>
  <c r="F127"/>
  <c r="I126"/>
  <c r="M130" s="1"/>
  <c r="F126"/>
  <c r="F125"/>
  <c r="M124"/>
  <c r="F124"/>
  <c r="F121"/>
  <c r="F120"/>
  <c r="M119"/>
  <c r="F119"/>
  <c r="F118"/>
  <c r="F117"/>
  <c r="F116"/>
  <c r="F115"/>
  <c r="M113"/>
  <c r="F113"/>
  <c r="F110"/>
  <c r="F109"/>
  <c r="R108"/>
  <c r="Q108"/>
  <c r="P108"/>
  <c r="O108"/>
  <c r="M108"/>
  <c r="F108"/>
  <c r="F107"/>
  <c r="F106"/>
  <c r="F105"/>
  <c r="F104"/>
  <c r="F103"/>
  <c r="F102"/>
  <c r="F101"/>
  <c r="R100"/>
  <c r="Q100"/>
  <c r="P100"/>
  <c r="O100"/>
  <c r="M100"/>
  <c r="F100"/>
  <c r="F99"/>
  <c r="F98"/>
  <c r="F97"/>
  <c r="R96"/>
  <c r="Q96"/>
  <c r="P96"/>
  <c r="O96"/>
  <c r="M96"/>
  <c r="F96"/>
  <c r="F95"/>
  <c r="F94"/>
  <c r="M93"/>
  <c r="F93"/>
  <c r="R92"/>
  <c r="Q92"/>
  <c r="P92"/>
  <c r="O92"/>
  <c r="F92"/>
  <c r="F91"/>
  <c r="I90"/>
  <c r="F90"/>
  <c r="F88"/>
  <c r="F87"/>
  <c r="I86"/>
  <c r="M92" s="1"/>
  <c r="F86"/>
  <c r="M85"/>
  <c r="F85"/>
  <c r="J84"/>
  <c r="F84"/>
  <c r="M83"/>
  <c r="M84" s="1"/>
  <c r="F83"/>
  <c r="F82"/>
  <c r="F81"/>
  <c r="F80"/>
  <c r="F79"/>
  <c r="F78"/>
  <c r="F77"/>
  <c r="R76"/>
  <c r="Q76"/>
  <c r="P76"/>
  <c r="O76"/>
  <c r="F76"/>
  <c r="F75"/>
  <c r="F74"/>
  <c r="I73"/>
  <c r="M76" s="1"/>
  <c r="F73"/>
  <c r="F72"/>
  <c r="F71"/>
  <c r="I69"/>
  <c r="F69"/>
  <c r="F68"/>
  <c r="F67"/>
  <c r="F65"/>
  <c r="I64"/>
  <c r="F64"/>
  <c r="F63"/>
  <c r="F62"/>
  <c r="F61"/>
  <c r="F60"/>
  <c r="F59"/>
  <c r="F58"/>
  <c r="F56"/>
  <c r="F55"/>
  <c r="F54"/>
  <c r="F53"/>
  <c r="F52"/>
  <c r="F51"/>
  <c r="F50"/>
  <c r="F49"/>
  <c r="F47"/>
  <c r="F43"/>
  <c r="F42"/>
  <c r="M41"/>
  <c r="M46" s="1"/>
  <c r="M51" s="1"/>
  <c r="M54" s="1"/>
  <c r="M59" s="1"/>
  <c r="M62" s="1"/>
  <c r="L41"/>
  <c r="L46" s="1"/>
  <c r="L51" s="1"/>
  <c r="L54" s="1"/>
  <c r="L59" s="1"/>
  <c r="L62" s="1"/>
  <c r="F41"/>
  <c r="F40"/>
  <c r="F39"/>
  <c r="R38"/>
  <c r="Q38"/>
  <c r="P38"/>
  <c r="O38"/>
  <c r="F38"/>
  <c r="F37"/>
  <c r="K36"/>
  <c r="I36"/>
  <c r="F36"/>
  <c r="P35"/>
  <c r="K35"/>
  <c r="I35"/>
  <c r="F35"/>
  <c r="J34"/>
  <c r="F34"/>
  <c r="F33"/>
  <c r="J32"/>
  <c r="F32"/>
  <c r="K31"/>
  <c r="Q10" s="1"/>
  <c r="I31"/>
  <c r="F31"/>
  <c r="F29"/>
  <c r="F28"/>
  <c r="F27"/>
  <c r="F26"/>
  <c r="M23"/>
  <c r="M26" s="1"/>
  <c r="M27" s="1"/>
  <c r="M29" s="1"/>
  <c r="M32" s="1"/>
  <c r="M33" s="1"/>
  <c r="M34" s="1"/>
  <c r="M35" s="1"/>
  <c r="M36" s="1"/>
  <c r="M38" s="1"/>
  <c r="L23"/>
  <c r="L26" s="1"/>
  <c r="L27" s="1"/>
  <c r="L29" s="1"/>
  <c r="F23"/>
  <c r="F22"/>
  <c r="F21"/>
  <c r="O9"/>
  <c r="L32" l="1"/>
  <c r="L33" s="1"/>
  <c r="L34" s="1"/>
  <c r="L35" s="1"/>
  <c r="L36" s="1"/>
  <c r="L38" s="1"/>
  <c r="M72"/>
  <c r="Q9"/>
  <c r="Q11" s="1"/>
  <c r="L72"/>
  <c r="L76" s="1"/>
  <c r="L85" s="1"/>
  <c r="L92" s="1"/>
  <c r="L93" s="1"/>
  <c r="L96" s="1"/>
  <c r="L100" s="1"/>
  <c r="L108" s="1"/>
  <c r="L113" s="1"/>
  <c r="L119" s="1"/>
  <c r="L124" s="1"/>
  <c r="L130" s="1"/>
  <c r="L133" s="1"/>
  <c r="L144" s="1"/>
  <c r="L148" s="1"/>
  <c r="O8"/>
  <c r="O10" s="1"/>
  <c r="M77"/>
  <c r="M86" s="1"/>
  <c r="L155" l="1"/>
  <c r="S155" l="1"/>
</calcChain>
</file>

<file path=xl/comments1.xml><?xml version="1.0" encoding="utf-8"?>
<comments xmlns="http://schemas.openxmlformats.org/spreadsheetml/2006/main">
  <authors>
    <author>Gabriel</author>
  </authors>
  <commentList>
    <comment ref="B83" authorId="0">
      <text>
        <r>
          <rPr>
            <b/>
            <sz val="9"/>
            <color indexed="81"/>
            <rFont val="Tahoma"/>
            <family val="2"/>
          </rPr>
          <t>Replaced Orlando</t>
        </r>
      </text>
    </comment>
    <comment ref="B84" authorId="0">
      <text>
        <r>
          <rPr>
            <b/>
            <sz val="9"/>
            <color indexed="81"/>
            <rFont val="Tahoma"/>
            <family val="2"/>
          </rPr>
          <t>Replaced Orlando</t>
        </r>
      </text>
    </comment>
    <comment ref="B121" authorId="0">
      <text>
        <r>
          <rPr>
            <b/>
            <sz val="9"/>
            <color indexed="81"/>
            <rFont val="Tahoma"/>
            <family val="2"/>
          </rPr>
          <t>Replaced Chicago</t>
        </r>
      </text>
    </comment>
    <comment ref="B125" authorId="0">
      <text>
        <r>
          <rPr>
            <b/>
            <sz val="9"/>
            <color indexed="81"/>
            <rFont val="Tahoma"/>
            <family val="2"/>
          </rPr>
          <t>Replaced Boston</t>
        </r>
      </text>
    </comment>
    <comment ref="B126" authorId="0">
      <text>
        <r>
          <rPr>
            <b/>
            <sz val="9"/>
            <color indexed="81"/>
            <rFont val="Tahoma"/>
            <family val="2"/>
          </rPr>
          <t>Replaced Portland</t>
        </r>
      </text>
    </comment>
    <comment ref="B127" authorId="0">
      <text>
        <r>
          <rPr>
            <b/>
            <sz val="9"/>
            <color indexed="81"/>
            <rFont val="Tahoma"/>
            <family val="2"/>
          </rPr>
          <t>Replaced Oklahoma City</t>
        </r>
      </text>
    </comment>
    <comment ref="B132" authorId="0">
      <text>
        <r>
          <rPr>
            <b/>
            <sz val="9"/>
            <color indexed="81"/>
            <rFont val="Tahoma"/>
            <family val="2"/>
          </rPr>
          <t>Replaced Boston</t>
        </r>
      </text>
    </comment>
    <comment ref="C132" authorId="0">
      <text>
        <r>
          <rPr>
            <b/>
            <sz val="9"/>
            <color indexed="81"/>
            <rFont val="Tahoma"/>
            <family val="2"/>
          </rPr>
          <t>Repeat Bet 2 of 3</t>
        </r>
      </text>
    </comment>
    <comment ref="B134" authorId="0">
      <text>
        <r>
          <rPr>
            <b/>
            <sz val="9"/>
            <color indexed="81"/>
            <rFont val="Tahoma"/>
            <family val="2"/>
          </rPr>
          <t>Replaced Boston</t>
        </r>
      </text>
    </comment>
    <comment ref="C134" authorId="0">
      <text>
        <r>
          <rPr>
            <b/>
            <sz val="9"/>
            <color indexed="81"/>
            <rFont val="Tahoma"/>
            <family val="2"/>
          </rPr>
          <t>Repeat Bet 2 of 3</t>
        </r>
      </text>
    </comment>
    <comment ref="B145" authorId="0">
      <text>
        <r>
          <rPr>
            <b/>
            <sz val="9"/>
            <color indexed="81"/>
            <rFont val="Tahoma"/>
            <family val="2"/>
          </rPr>
          <t>Replaced Boston</t>
        </r>
      </text>
    </comment>
    <comment ref="C145" authorId="0">
      <text>
        <r>
          <rPr>
            <b/>
            <sz val="9"/>
            <color indexed="81"/>
            <rFont val="Tahoma"/>
            <family val="2"/>
          </rPr>
          <t>Repeat Bet 2 of 3</t>
        </r>
      </text>
    </comment>
    <comment ref="B146" authorId="0">
      <text>
        <r>
          <rPr>
            <b/>
            <sz val="9"/>
            <color indexed="81"/>
            <rFont val="Tahoma"/>
            <family val="2"/>
          </rPr>
          <t>Replaced Indiana</t>
        </r>
      </text>
    </comment>
    <comment ref="B147" authorId="0">
      <text>
        <r>
          <rPr>
            <b/>
            <sz val="9"/>
            <color indexed="81"/>
            <rFont val="Tahoma"/>
            <family val="2"/>
          </rPr>
          <t>Replaced Chicago</t>
        </r>
      </text>
    </comment>
    <comment ref="B152" authorId="0">
      <text>
        <r>
          <rPr>
            <b/>
            <sz val="9"/>
            <color indexed="81"/>
            <rFont val="Tahoma"/>
            <family val="2"/>
          </rPr>
          <t>Replaced Boston</t>
        </r>
      </text>
    </comment>
    <comment ref="C152" authorId="0">
      <text>
        <r>
          <rPr>
            <b/>
            <sz val="9"/>
            <color indexed="81"/>
            <rFont val="Tahoma"/>
            <family val="2"/>
          </rPr>
          <t>Repeat Bet 2 of 3</t>
        </r>
      </text>
    </comment>
  </commentList>
</comments>
</file>

<file path=xl/sharedStrings.xml><?xml version="1.0" encoding="utf-8"?>
<sst xmlns="http://schemas.openxmlformats.org/spreadsheetml/2006/main" count="811" uniqueCount="162">
  <si>
    <t>DATE</t>
  </si>
  <si>
    <t>TEAM</t>
  </si>
  <si>
    <t>SERIES</t>
  </si>
  <si>
    <t>SPREAD</t>
  </si>
  <si>
    <t>ODDS</t>
  </si>
  <si>
    <t>BET</t>
  </si>
  <si>
    <t>R</t>
  </si>
  <si>
    <t>LOSSES</t>
  </si>
  <si>
    <t>WINNINGS</t>
  </si>
  <si>
    <t>LOST</t>
  </si>
  <si>
    <t>RECOVERED</t>
  </si>
  <si>
    <t>BANKROLL #1</t>
  </si>
  <si>
    <t>PROFIT</t>
  </si>
  <si>
    <t>$10 UNIT BET</t>
  </si>
  <si>
    <t>November 8</t>
  </si>
  <si>
    <t>Golden State</t>
  </si>
  <si>
    <t>1 of 3</t>
  </si>
  <si>
    <t>+2</t>
  </si>
  <si>
    <t>-130</t>
  </si>
  <si>
    <t>W</t>
  </si>
  <si>
    <t>-</t>
  </si>
  <si>
    <t>November 9</t>
  </si>
  <si>
    <t>November 10</t>
  </si>
  <si>
    <t>November 11</t>
  </si>
  <si>
    <t>November 12</t>
  </si>
  <si>
    <t>November 13</t>
  </si>
  <si>
    <t>Wins:</t>
  </si>
  <si>
    <t>November 14</t>
  </si>
  <si>
    <t>Losses:</t>
  </si>
  <si>
    <t>Lost:</t>
  </si>
  <si>
    <t>November 15</t>
  </si>
  <si>
    <t>Profit:</t>
  </si>
  <si>
    <t>Recovered:</t>
  </si>
  <si>
    <t>November 16</t>
  </si>
  <si>
    <t>Remain:</t>
  </si>
  <si>
    <t>November 17</t>
  </si>
  <si>
    <t>November 18</t>
  </si>
  <si>
    <t>November 19</t>
  </si>
  <si>
    <t>November 20</t>
  </si>
  <si>
    <t>November 21</t>
  </si>
  <si>
    <t>November 22</t>
  </si>
  <si>
    <t>November 23</t>
  </si>
  <si>
    <t>November 24</t>
  </si>
  <si>
    <t>November 25</t>
  </si>
  <si>
    <t>November 26</t>
  </si>
  <si>
    <t>Cleveland</t>
  </si>
  <si>
    <t>+12</t>
  </si>
  <si>
    <t>Philadelphia</t>
  </si>
  <si>
    <t>Toronto</t>
  </si>
  <si>
    <t>+11</t>
  </si>
  <si>
    <t>November 27</t>
  </si>
  <si>
    <t>November 28</t>
  </si>
  <si>
    <t>November 29</t>
  </si>
  <si>
    <t>Washington</t>
  </si>
  <si>
    <t>+13</t>
  </si>
  <si>
    <t>November 30</t>
  </si>
  <si>
    <t>Detroit</t>
  </si>
  <si>
    <t>December 1</t>
  </si>
  <si>
    <t>L</t>
  </si>
  <si>
    <t>Minnesota</t>
  </si>
  <si>
    <t>1 of 4</t>
  </si>
  <si>
    <t>December 2</t>
  </si>
  <si>
    <t>December 3</t>
  </si>
  <si>
    <t>2 of 3</t>
  </si>
  <si>
    <t>Sacramento</t>
  </si>
  <si>
    <t>2 of 4</t>
  </si>
  <si>
    <t>+14</t>
  </si>
  <si>
    <t>December 4</t>
  </si>
  <si>
    <t>Atlanta</t>
  </si>
  <si>
    <t>3 of 4</t>
  </si>
  <si>
    <t>+10</t>
  </si>
  <si>
    <t>December 5</t>
  </si>
  <si>
    <t>4 of 4</t>
  </si>
  <si>
    <t>+9</t>
  </si>
  <si>
    <t>December 6</t>
  </si>
  <si>
    <t>Memphis</t>
  </si>
  <si>
    <t>December 7</t>
  </si>
  <si>
    <t>December 8</t>
  </si>
  <si>
    <t>December 9</t>
  </si>
  <si>
    <t>Boston</t>
  </si>
  <si>
    <t>-5</t>
  </si>
  <si>
    <t>Orlando</t>
  </si>
  <si>
    <t>-2.5</t>
  </si>
  <si>
    <t>New Jersey</t>
  </si>
  <si>
    <t>December 10</t>
  </si>
  <si>
    <t>LA Lakers</t>
  </si>
  <si>
    <t>-2</t>
  </si>
  <si>
    <t>Utah</t>
  </si>
  <si>
    <t>-3</t>
  </si>
  <si>
    <t>(pending)</t>
  </si>
  <si>
    <t>December 11</t>
  </si>
  <si>
    <t>Dallas</t>
  </si>
  <si>
    <t>-6</t>
  </si>
  <si>
    <t>Miami</t>
  </si>
  <si>
    <t>SB</t>
  </si>
  <si>
    <t>Chicago</t>
  </si>
  <si>
    <t>December 12</t>
  </si>
  <si>
    <t>San Antonio</t>
  </si>
  <si>
    <t>December 13</t>
  </si>
  <si>
    <t>New Orleans</t>
  </si>
  <si>
    <t>December 14</t>
  </si>
  <si>
    <t>December 15</t>
  </si>
  <si>
    <t>+18</t>
  </si>
  <si>
    <t>-4</t>
  </si>
  <si>
    <t>-5.5</t>
  </si>
  <si>
    <t>3 of 3</t>
  </si>
  <si>
    <t>December 16</t>
  </si>
  <si>
    <t>+1.5</t>
  </si>
  <si>
    <t>December 17</t>
  </si>
  <si>
    <t>Oklahoma City</t>
  </si>
  <si>
    <t>-1</t>
  </si>
  <si>
    <t>-4.5</t>
  </si>
  <si>
    <t>Orlando 3 of 3:</t>
  </si>
  <si>
    <t>Split in 2 bets</t>
  </si>
  <si>
    <t>December 18</t>
  </si>
  <si>
    <t>December 19</t>
  </si>
  <si>
    <t>December 20</t>
  </si>
  <si>
    <t>Phoenix</t>
  </si>
  <si>
    <t>-6.5</t>
  </si>
  <si>
    <t>December 21</t>
  </si>
  <si>
    <t>Milwaukee</t>
  </si>
  <si>
    <t>+2.5</t>
  </si>
  <si>
    <t>December 22</t>
  </si>
  <si>
    <t>-3.5</t>
  </si>
  <si>
    <t>+1</t>
  </si>
  <si>
    <t>Houston</t>
  </si>
  <si>
    <t>December 23</t>
  </si>
  <si>
    <t>+120</t>
  </si>
  <si>
    <t>December 24</t>
  </si>
  <si>
    <t>December 25</t>
  </si>
  <si>
    <t>+3</t>
  </si>
  <si>
    <t>Portland</t>
  </si>
  <si>
    <t>+3.5</t>
  </si>
  <si>
    <t>December 26</t>
  </si>
  <si>
    <t>+15</t>
  </si>
  <si>
    <t>December 27</t>
  </si>
  <si>
    <t>LA Clippers</t>
  </si>
  <si>
    <t>December 28</t>
  </si>
  <si>
    <t>LA L. vs San An</t>
  </si>
  <si>
    <t>O - 198</t>
  </si>
  <si>
    <t>December 29</t>
  </si>
  <si>
    <t>Ind. vs Wash.</t>
  </si>
  <si>
    <t>O - 196</t>
  </si>
  <si>
    <t>NJ vs. Ok C.</t>
  </si>
  <si>
    <t>O - 196.5</t>
  </si>
  <si>
    <t>Denver</t>
  </si>
  <si>
    <t>Indiana</t>
  </si>
  <si>
    <t>December 30</t>
  </si>
  <si>
    <t>San An vs Da</t>
  </si>
  <si>
    <t>O - 190.5</t>
  </si>
  <si>
    <t>December 31</t>
  </si>
  <si>
    <t>+4</t>
  </si>
  <si>
    <t>Atl vs Ok C</t>
  </si>
  <si>
    <t>O - 195.5</t>
  </si>
  <si>
    <t>Total BR1</t>
  </si>
  <si>
    <t>BR2</t>
  </si>
  <si>
    <t>Winnings</t>
  </si>
  <si>
    <t>Total BR</t>
  </si>
  <si>
    <t>Split Wins</t>
  </si>
  <si>
    <t>New BR1</t>
  </si>
  <si>
    <t>New BR2</t>
  </si>
  <si>
    <t>Winning %</t>
  </si>
</sst>
</file>

<file path=xl/styles.xml><?xml version="1.0" encoding="utf-8"?>
<styleSheet xmlns="http://schemas.openxmlformats.org/spreadsheetml/2006/main">
  <numFmts count="3">
    <numFmt numFmtId="6" formatCode="&quot;$&quot;#,##0;[Red]\-&quot;$&quot;#,##0"/>
    <numFmt numFmtId="164" formatCode="&quot;$&quot;#,##0.0;[Red]\-&quot;$&quot;#,##0.0"/>
    <numFmt numFmtId="165" formatCode="&quot;$&quot;#,##0.00"/>
  </numFmts>
  <fonts count="5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9"/>
      <color indexed="81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1" xfId="0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3" xfId="0" applyFill="1" applyBorder="1"/>
    <xf numFmtId="0" fontId="0" fillId="0" borderId="4" xfId="0" applyBorder="1" applyAlignment="1"/>
    <xf numFmtId="0" fontId="0" fillId="0" borderId="4" xfId="0" applyBorder="1" applyAlignment="1">
      <alignment horizontal="center"/>
    </xf>
    <xf numFmtId="49" fontId="0" fillId="0" borderId="4" xfId="0" applyNumberFormat="1" applyBorder="1" applyAlignment="1">
      <alignment horizontal="center"/>
    </xf>
    <xf numFmtId="49" fontId="0" fillId="0" borderId="4" xfId="0" applyNumberFormat="1" applyBorder="1" applyAlignment="1">
      <alignment horizontal="right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7" xfId="0" applyFont="1" applyBorder="1" applyAlignment="1">
      <alignment horizontal="center"/>
    </xf>
    <xf numFmtId="9" fontId="0" fillId="0" borderId="0" xfId="0" applyNumberFormat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4" xfId="0" applyFont="1" applyBorder="1" applyAlignment="1">
      <alignment horizontal="center"/>
    </xf>
    <xf numFmtId="49" fontId="0" fillId="0" borderId="4" xfId="0" applyNumberFormat="1" applyFont="1" applyBorder="1" applyAlignment="1">
      <alignment horizontal="center"/>
    </xf>
    <xf numFmtId="49" fontId="0" fillId="0" borderId="4" xfId="0" applyNumberFormat="1" applyFont="1" applyBorder="1" applyAlignment="1">
      <alignment horizontal="right"/>
    </xf>
    <xf numFmtId="0" fontId="0" fillId="0" borderId="4" xfId="0" applyFont="1" applyBorder="1"/>
    <xf numFmtId="0" fontId="0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9" fontId="0" fillId="0" borderId="0" xfId="0" applyNumberFormat="1"/>
    <xf numFmtId="10" fontId="0" fillId="0" borderId="0" xfId="0" applyNumberFormat="1"/>
    <xf numFmtId="6" fontId="0" fillId="0" borderId="0" xfId="0" applyNumberFormat="1"/>
    <xf numFmtId="164" fontId="0" fillId="0" borderId="0" xfId="0" applyNumberFormat="1"/>
    <xf numFmtId="0" fontId="0" fillId="0" borderId="0" xfId="0" applyFill="1" applyAlignment="1"/>
    <xf numFmtId="0" fontId="0" fillId="3" borderId="0" xfId="0" applyFill="1" applyAlignment="1"/>
    <xf numFmtId="0" fontId="0" fillId="0" borderId="0" xfId="0" applyFill="1" applyAlignment="1">
      <alignment horizontal="center"/>
    </xf>
    <xf numFmtId="0" fontId="0" fillId="4" borderId="0" xfId="0" applyFill="1" applyAlignment="1"/>
    <xf numFmtId="0" fontId="0" fillId="5" borderId="0" xfId="0" applyFill="1"/>
    <xf numFmtId="0" fontId="0" fillId="6" borderId="0" xfId="0" applyFill="1" applyAlignment="1"/>
    <xf numFmtId="0" fontId="0" fillId="7" borderId="0" xfId="0" applyFill="1"/>
    <xf numFmtId="0" fontId="0" fillId="8" borderId="0" xfId="0" applyFill="1"/>
    <xf numFmtId="6" fontId="2" fillId="0" borderId="0" xfId="0" applyNumberFormat="1" applyFont="1"/>
    <xf numFmtId="0" fontId="0" fillId="0" borderId="0" xfId="0" applyFont="1" applyAlignment="1">
      <alignment horizontal="center"/>
    </xf>
    <xf numFmtId="2" fontId="0" fillId="0" borderId="0" xfId="0" applyNumberFormat="1" applyAlignment="1">
      <alignment horizontal="center"/>
    </xf>
    <xf numFmtId="10" fontId="0" fillId="0" borderId="0" xfId="0" applyNumberFormat="1" applyAlignment="1">
      <alignment horizontal="center"/>
    </xf>
    <xf numFmtId="0" fontId="0" fillId="0" borderId="10" xfId="0" applyFill="1" applyBorder="1"/>
    <xf numFmtId="0" fontId="0" fillId="0" borderId="11" xfId="0" applyFill="1" applyBorder="1" applyAlignment="1"/>
    <xf numFmtId="0" fontId="0" fillId="0" borderId="11" xfId="0" applyBorder="1" applyAlignment="1">
      <alignment horizontal="center"/>
    </xf>
    <xf numFmtId="49" fontId="0" fillId="0" borderId="11" xfId="0" applyNumberFormat="1" applyBorder="1" applyAlignment="1">
      <alignment horizontal="center"/>
    </xf>
    <xf numFmtId="0" fontId="0" fillId="0" borderId="11" xfId="0" applyBorder="1"/>
    <xf numFmtId="0" fontId="0" fillId="0" borderId="11" xfId="0" applyNumberFormat="1" applyBorder="1"/>
    <xf numFmtId="0" fontId="0" fillId="0" borderId="12" xfId="0" applyBorder="1" applyAlignment="1">
      <alignment horizontal="center"/>
    </xf>
    <xf numFmtId="0" fontId="0" fillId="0" borderId="6" xfId="0" applyFill="1" applyBorder="1"/>
    <xf numFmtId="0" fontId="0" fillId="0" borderId="0" xfId="0" applyFill="1" applyBorder="1" applyAlignment="1"/>
    <xf numFmtId="0" fontId="0" fillId="0" borderId="0" xfId="0" applyBorder="1" applyAlignment="1">
      <alignment horizontal="center"/>
    </xf>
    <xf numFmtId="49" fontId="0" fillId="0" borderId="0" xfId="0" applyNumberFormat="1" applyBorder="1" applyAlignment="1">
      <alignment horizontal="center"/>
    </xf>
    <xf numFmtId="0" fontId="0" fillId="0" borderId="0" xfId="0" applyBorder="1"/>
    <xf numFmtId="0" fontId="0" fillId="0" borderId="0" xfId="0" applyNumberFormat="1" applyBorder="1"/>
    <xf numFmtId="0" fontId="0" fillId="0" borderId="8" xfId="0" applyFill="1" applyBorder="1"/>
    <xf numFmtId="0" fontId="0" fillId="0" borderId="13" xfId="0" applyFill="1" applyBorder="1" applyAlignment="1"/>
    <xf numFmtId="0" fontId="0" fillId="0" borderId="13" xfId="0" applyBorder="1" applyAlignment="1">
      <alignment horizontal="center"/>
    </xf>
    <xf numFmtId="49" fontId="0" fillId="0" borderId="13" xfId="0" applyNumberFormat="1" applyBorder="1" applyAlignment="1">
      <alignment horizontal="center"/>
    </xf>
    <xf numFmtId="0" fontId="0" fillId="0" borderId="13" xfId="0" applyBorder="1"/>
    <xf numFmtId="0" fontId="0" fillId="0" borderId="13" xfId="0" applyNumberFormat="1" applyBorder="1"/>
    <xf numFmtId="0" fontId="0" fillId="0" borderId="9" xfId="0" applyBorder="1" applyAlignment="1">
      <alignment horizontal="center"/>
    </xf>
    <xf numFmtId="0" fontId="0" fillId="0" borderId="4" xfId="0" applyFill="1" applyBorder="1" applyAlignment="1"/>
    <xf numFmtId="0" fontId="0" fillId="0" borderId="4" xfId="0" applyFill="1" applyBorder="1"/>
    <xf numFmtId="0" fontId="0" fillId="0" borderId="4" xfId="0" applyBorder="1"/>
    <xf numFmtId="0" fontId="0" fillId="0" borderId="11" xfId="0" applyFill="1" applyBorder="1"/>
    <xf numFmtId="0" fontId="3" fillId="0" borderId="0" xfId="0" applyFont="1" applyAlignment="1">
      <alignment horizontal="center"/>
    </xf>
    <xf numFmtId="0" fontId="0" fillId="0" borderId="13" xfId="0" applyFill="1" applyBorder="1"/>
    <xf numFmtId="2" fontId="0" fillId="0" borderId="0" xfId="0" applyNumberFormat="1"/>
    <xf numFmtId="2" fontId="0" fillId="0" borderId="4" xfId="0" applyNumberFormat="1" applyBorder="1"/>
    <xf numFmtId="0" fontId="0" fillId="2" borderId="0" xfId="0" applyFill="1"/>
    <xf numFmtId="0" fontId="3" fillId="0" borderId="0" xfId="0" applyFont="1" applyFill="1" applyAlignment="1">
      <alignment horizontal="center"/>
    </xf>
    <xf numFmtId="2" fontId="3" fillId="0" borderId="0" xfId="0" applyNumberFormat="1" applyFont="1" applyFill="1" applyAlignment="1">
      <alignment horizontal="center"/>
    </xf>
    <xf numFmtId="0" fontId="3" fillId="0" borderId="6" xfId="0" applyFont="1" applyBorder="1" applyAlignment="1">
      <alignment horizontal="center"/>
    </xf>
    <xf numFmtId="0" fontId="0" fillId="0" borderId="0" xfId="0" applyFill="1" applyBorder="1"/>
    <xf numFmtId="0" fontId="0" fillId="0" borderId="0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9" xfId="0" applyBorder="1" applyAlignment="1">
      <alignment horizontal="center"/>
    </xf>
    <xf numFmtId="2" fontId="0" fillId="0" borderId="0" xfId="0" applyNumberFormat="1" applyBorder="1"/>
    <xf numFmtId="2" fontId="0" fillId="0" borderId="11" xfId="0" applyNumberFormat="1" applyBorder="1"/>
    <xf numFmtId="0" fontId="0" fillId="0" borderId="13" xfId="0" applyBorder="1" applyAlignment="1"/>
    <xf numFmtId="0" fontId="1" fillId="0" borderId="6" xfId="0" applyFont="1" applyBorder="1" applyAlignment="1">
      <alignment horizontal="center"/>
    </xf>
    <xf numFmtId="0" fontId="0" fillId="0" borderId="11" xfId="0" applyFont="1" applyFill="1" applyBorder="1" applyAlignment="1"/>
    <xf numFmtId="0" fontId="0" fillId="0" borderId="0" xfId="0" applyFont="1" applyFill="1" applyBorder="1" applyAlignment="1"/>
    <xf numFmtId="0" fontId="2" fillId="0" borderId="0" xfId="0" applyFont="1" applyFill="1" applyBorder="1" applyAlignment="1"/>
    <xf numFmtId="0" fontId="0" fillId="2" borderId="0" xfId="0" applyFill="1" applyAlignment="1">
      <alignment horizontal="center"/>
    </xf>
    <xf numFmtId="0" fontId="0" fillId="2" borderId="0" xfId="0" applyNumberFormat="1" applyFill="1" applyAlignment="1">
      <alignment horizontal="center"/>
    </xf>
    <xf numFmtId="2" fontId="2" fillId="0" borderId="6" xfId="0" applyNumberFormat="1" applyFont="1" applyBorder="1" applyAlignment="1">
      <alignment horizontal="center"/>
    </xf>
    <xf numFmtId="0" fontId="0" fillId="0" borderId="13" xfId="0" applyFont="1" applyFill="1" applyBorder="1" applyAlignment="1"/>
    <xf numFmtId="0" fontId="0" fillId="0" borderId="11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Border="1" applyAlignment="1"/>
    <xf numFmtId="0" fontId="0" fillId="0" borderId="13" xfId="0" applyFill="1" applyBorder="1" applyAlignment="1">
      <alignment horizontal="center"/>
    </xf>
    <xf numFmtId="0" fontId="0" fillId="0" borderId="11" xfId="0" applyBorder="1" applyAlignment="1"/>
    <xf numFmtId="2" fontId="0" fillId="0" borderId="13" xfId="0" applyNumberFormat="1" applyBorder="1"/>
    <xf numFmtId="6" fontId="0" fillId="0" borderId="0" xfId="0" applyNumberFormat="1" applyAlignment="1">
      <alignment horizontal="center"/>
    </xf>
    <xf numFmtId="0" fontId="0" fillId="0" borderId="6" xfId="0" applyBorder="1"/>
    <xf numFmtId="0" fontId="0" fillId="0" borderId="8" xfId="0" applyBorder="1"/>
    <xf numFmtId="0" fontId="2" fillId="0" borderId="6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49" fontId="0" fillId="0" borderId="13" xfId="0" applyNumberFormat="1" applyBorder="1" applyAlignment="1">
      <alignment horizontal="right"/>
    </xf>
    <xf numFmtId="165" fontId="0" fillId="0" borderId="0" xfId="0" applyNumberFormat="1"/>
    <xf numFmtId="0" fontId="3" fillId="0" borderId="10" xfId="0" applyFont="1" applyFill="1" applyBorder="1"/>
    <xf numFmtId="0" fontId="3" fillId="0" borderId="6" xfId="0" applyFont="1" applyFill="1" applyBorder="1"/>
    <xf numFmtId="0" fontId="3" fillId="0" borderId="8" xfId="0" applyFont="1" applyFill="1" applyBorder="1"/>
    <xf numFmtId="0" fontId="2" fillId="0" borderId="0" xfId="0" applyFont="1" applyBorder="1" applyAlignment="1">
      <alignment horizontal="center"/>
    </xf>
    <xf numFmtId="49" fontId="0" fillId="0" borderId="0" xfId="0" applyNumberFormat="1" applyAlignment="1">
      <alignment horizontal="center"/>
    </xf>
    <xf numFmtId="0" fontId="2" fillId="0" borderId="11" xfId="0" applyFont="1" applyFill="1" applyBorder="1" applyAlignment="1"/>
    <xf numFmtId="0" fontId="2" fillId="0" borderId="11" xfId="0" applyFont="1" applyBorder="1" applyAlignment="1">
      <alignment horizontal="center"/>
    </xf>
    <xf numFmtId="0" fontId="0" fillId="0" borderId="6" xfId="0" applyNumberFormat="1" applyBorder="1" applyAlignment="1">
      <alignment horizontal="center"/>
    </xf>
    <xf numFmtId="0" fontId="2" fillId="2" borderId="10" xfId="0" applyFont="1" applyFill="1" applyBorder="1"/>
    <xf numFmtId="0" fontId="0" fillId="0" borderId="0" xfId="0" applyNumberFormat="1"/>
    <xf numFmtId="0" fontId="0" fillId="2" borderId="0" xfId="0" applyFont="1" applyFill="1" applyAlignment="1">
      <alignment horizontal="center"/>
    </xf>
    <xf numFmtId="0" fontId="0" fillId="0" borderId="0" xfId="0" applyAlignment="1"/>
    <xf numFmtId="0" fontId="0" fillId="0" borderId="8" xfId="0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419"/>
  <sheetViews>
    <sheetView tabSelected="1" topLeftCell="A137" workbookViewId="0">
      <selection activeCell="S157" sqref="S157"/>
    </sheetView>
  </sheetViews>
  <sheetFormatPr baseColWidth="10" defaultRowHeight="15"/>
  <cols>
    <col min="1" max="1" width="13.7109375" customWidth="1"/>
    <col min="2" max="2" width="13.42578125" style="116" customWidth="1"/>
    <col min="3" max="3" width="7" style="5" customWidth="1"/>
    <col min="4" max="4" width="8.7109375" style="109" customWidth="1"/>
    <col min="5" max="5" width="6" customWidth="1"/>
    <col min="6" max="6" width="7.85546875" customWidth="1"/>
    <col min="7" max="7" width="3" style="5" customWidth="1"/>
    <col min="8" max="8" width="9.42578125" style="5" customWidth="1"/>
    <col min="9" max="9" width="11.140625" style="5" customWidth="1"/>
    <col min="10" max="10" width="10.5703125" style="18" customWidth="1"/>
    <col min="11" max="11" width="11.42578125" style="18"/>
    <col min="12" max="12" width="14.5703125" style="5" customWidth="1"/>
    <col min="13" max="13" width="11.42578125" style="9"/>
    <col min="15" max="15" width="11.85546875" bestFit="1" customWidth="1"/>
  </cols>
  <sheetData>
    <row r="1" spans="1:17">
      <c r="A1" s="1" t="s">
        <v>0</v>
      </c>
      <c r="B1" s="1" t="s">
        <v>1</v>
      </c>
      <c r="C1" s="1" t="s">
        <v>2</v>
      </c>
      <c r="D1" s="2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3" t="s">
        <v>11</v>
      </c>
      <c r="M1" s="4" t="s">
        <v>12</v>
      </c>
      <c r="N1" s="5"/>
    </row>
    <row r="2" spans="1:17">
      <c r="A2" s="6" t="s">
        <v>13</v>
      </c>
      <c r="B2" s="7"/>
      <c r="C2" s="7"/>
      <c r="D2" s="7"/>
      <c r="E2" s="7"/>
      <c r="F2" s="7"/>
      <c r="G2" s="7"/>
      <c r="H2" s="7"/>
      <c r="I2" s="7"/>
      <c r="J2" s="7"/>
      <c r="K2" s="8"/>
    </row>
    <row r="3" spans="1:17">
      <c r="A3" s="10" t="s">
        <v>14</v>
      </c>
      <c r="B3" s="11" t="s">
        <v>15</v>
      </c>
      <c r="C3" s="12" t="s">
        <v>16</v>
      </c>
      <c r="D3" s="13" t="s">
        <v>17</v>
      </c>
      <c r="E3" s="14" t="s">
        <v>18</v>
      </c>
      <c r="F3" s="11"/>
      <c r="G3" s="15" t="s">
        <v>19</v>
      </c>
      <c r="H3" s="16" t="s">
        <v>20</v>
      </c>
      <c r="I3" s="17" t="s">
        <v>20</v>
      </c>
      <c r="K3" s="19"/>
    </row>
    <row r="4" spans="1:17">
      <c r="A4" s="10" t="s">
        <v>21</v>
      </c>
      <c r="B4" s="21" t="s">
        <v>20</v>
      </c>
      <c r="C4" s="22"/>
      <c r="D4" s="23"/>
      <c r="E4" s="24"/>
      <c r="F4" s="25"/>
      <c r="G4" s="26"/>
      <c r="H4" s="16" t="s">
        <v>20</v>
      </c>
      <c r="I4" s="17" t="s">
        <v>20</v>
      </c>
      <c r="K4" s="19"/>
    </row>
    <row r="5" spans="1:17">
      <c r="A5" s="10" t="s">
        <v>22</v>
      </c>
      <c r="B5" s="21" t="s">
        <v>20</v>
      </c>
      <c r="C5" s="22"/>
      <c r="D5" s="23"/>
      <c r="E5" s="24"/>
      <c r="F5" s="25"/>
      <c r="G5" s="26"/>
      <c r="H5" s="16" t="s">
        <v>20</v>
      </c>
      <c r="I5" s="17" t="s">
        <v>20</v>
      </c>
      <c r="J5" s="27"/>
      <c r="K5" s="19"/>
      <c r="O5" s="28"/>
      <c r="P5" s="29"/>
      <c r="Q5" s="28"/>
    </row>
    <row r="6" spans="1:17">
      <c r="A6" s="10" t="s">
        <v>23</v>
      </c>
      <c r="B6" s="21" t="s">
        <v>20</v>
      </c>
      <c r="C6" s="22"/>
      <c r="D6" s="23"/>
      <c r="E6" s="24"/>
      <c r="F6" s="25"/>
      <c r="G6" s="26"/>
      <c r="H6" s="16" t="s">
        <v>20</v>
      </c>
      <c r="I6" s="17" t="s">
        <v>20</v>
      </c>
      <c r="J6" s="27"/>
      <c r="K6" s="19"/>
      <c r="N6" s="30"/>
      <c r="O6" s="31"/>
      <c r="P6" s="31"/>
      <c r="Q6" s="31"/>
    </row>
    <row r="7" spans="1:17">
      <c r="A7" s="10" t="s">
        <v>24</v>
      </c>
      <c r="B7" s="12" t="s">
        <v>20</v>
      </c>
      <c r="C7" s="22"/>
      <c r="D7" s="23"/>
      <c r="E7" s="24"/>
      <c r="F7" s="25"/>
      <c r="G7" s="26"/>
      <c r="H7" s="16" t="s">
        <v>20</v>
      </c>
      <c r="I7" s="17" t="s">
        <v>20</v>
      </c>
      <c r="J7" s="27"/>
      <c r="K7" s="19"/>
      <c r="N7" s="32"/>
      <c r="O7" s="5"/>
    </row>
    <row r="8" spans="1:17">
      <c r="A8" s="10" t="s">
        <v>25</v>
      </c>
      <c r="B8" s="12" t="s">
        <v>20</v>
      </c>
      <c r="C8" s="22"/>
      <c r="D8" s="23"/>
      <c r="E8" s="24"/>
      <c r="F8" s="25"/>
      <c r="G8" s="26"/>
      <c r="H8" s="16" t="s">
        <v>20</v>
      </c>
      <c r="I8" s="17" t="s">
        <v>20</v>
      </c>
      <c r="J8" s="27"/>
      <c r="K8" s="19"/>
      <c r="N8" s="33" t="s">
        <v>26</v>
      </c>
      <c r="O8" s="34">
        <f>SUM(I3:I735)</f>
        <v>1192.96</v>
      </c>
    </row>
    <row r="9" spans="1:17">
      <c r="A9" s="10" t="s">
        <v>27</v>
      </c>
      <c r="B9" s="12" t="s">
        <v>20</v>
      </c>
      <c r="C9" s="22"/>
      <c r="D9" s="23"/>
      <c r="E9" s="24"/>
      <c r="F9" s="25"/>
      <c r="G9" s="26"/>
      <c r="H9" s="16" t="s">
        <v>20</v>
      </c>
      <c r="I9" s="17" t="s">
        <v>20</v>
      </c>
      <c r="J9" s="27"/>
      <c r="K9" s="19"/>
      <c r="N9" s="35" t="s">
        <v>28</v>
      </c>
      <c r="O9" s="34">
        <f>SUM(H3:H735)</f>
        <v>914.9100000000002</v>
      </c>
      <c r="P9" s="36" t="s">
        <v>29</v>
      </c>
      <c r="Q9" s="34">
        <f>SUM(J3:J735)</f>
        <v>525.26</v>
      </c>
    </row>
    <row r="10" spans="1:17">
      <c r="A10" s="10" t="s">
        <v>30</v>
      </c>
      <c r="B10" s="12" t="s">
        <v>20</v>
      </c>
      <c r="C10" s="22"/>
      <c r="D10" s="23"/>
      <c r="E10" s="24"/>
      <c r="F10" s="25"/>
      <c r="G10" s="26"/>
      <c r="H10" s="16" t="s">
        <v>20</v>
      </c>
      <c r="I10" s="17" t="s">
        <v>20</v>
      </c>
      <c r="J10" s="27"/>
      <c r="K10" s="19"/>
      <c r="N10" s="37" t="s">
        <v>31</v>
      </c>
      <c r="O10" s="34">
        <f>O8-O9</f>
        <v>278.04999999999984</v>
      </c>
      <c r="P10" s="38" t="s">
        <v>32</v>
      </c>
      <c r="Q10" s="34">
        <f>SUM(K3:K735)</f>
        <v>103.11</v>
      </c>
    </row>
    <row r="11" spans="1:17">
      <c r="A11" s="10" t="s">
        <v>33</v>
      </c>
      <c r="B11" s="12" t="s">
        <v>20</v>
      </c>
      <c r="C11" s="22"/>
      <c r="D11" s="23"/>
      <c r="E11" s="24"/>
      <c r="F11" s="25"/>
      <c r="G11" s="26"/>
      <c r="H11" s="16" t="s">
        <v>20</v>
      </c>
      <c r="I11" s="17" t="s">
        <v>20</v>
      </c>
      <c r="J11" s="27"/>
      <c r="K11" s="19"/>
      <c r="N11" s="32"/>
      <c r="O11" s="34"/>
      <c r="P11" s="39" t="s">
        <v>34</v>
      </c>
      <c r="Q11" s="5">
        <f>Q9-Q10</f>
        <v>422.15</v>
      </c>
    </row>
    <row r="12" spans="1:17">
      <c r="A12" s="10" t="s">
        <v>35</v>
      </c>
      <c r="B12" s="12" t="s">
        <v>20</v>
      </c>
      <c r="C12" s="22"/>
      <c r="D12" s="23"/>
      <c r="E12" s="24"/>
      <c r="F12" s="25"/>
      <c r="G12" s="26"/>
      <c r="H12" s="16" t="s">
        <v>20</v>
      </c>
      <c r="I12" s="17" t="s">
        <v>20</v>
      </c>
      <c r="J12" s="27"/>
      <c r="K12" s="19"/>
      <c r="N12" s="30"/>
    </row>
    <row r="13" spans="1:17">
      <c r="A13" s="10" t="s">
        <v>36</v>
      </c>
      <c r="B13" s="12" t="s">
        <v>20</v>
      </c>
      <c r="C13" s="22"/>
      <c r="D13" s="23"/>
      <c r="E13" s="24"/>
      <c r="F13" s="25"/>
      <c r="G13" s="26"/>
      <c r="H13" s="16" t="s">
        <v>20</v>
      </c>
      <c r="I13" s="17" t="s">
        <v>20</v>
      </c>
      <c r="J13" s="27"/>
      <c r="K13" s="19"/>
      <c r="O13" s="18"/>
      <c r="P13" s="18"/>
    </row>
    <row r="14" spans="1:17">
      <c r="A14" s="10" t="s">
        <v>37</v>
      </c>
      <c r="B14" s="12" t="s">
        <v>20</v>
      </c>
      <c r="C14" s="22"/>
      <c r="D14" s="23"/>
      <c r="E14" s="24"/>
      <c r="F14" s="25"/>
      <c r="G14" s="26"/>
      <c r="H14" s="16" t="s">
        <v>20</v>
      </c>
      <c r="I14" s="17" t="s">
        <v>20</v>
      </c>
      <c r="J14" s="27"/>
      <c r="K14" s="19"/>
      <c r="N14" s="40"/>
      <c r="O14" s="41"/>
      <c r="P14" s="5"/>
    </row>
    <row r="15" spans="1:17">
      <c r="A15" s="10" t="s">
        <v>38</v>
      </c>
      <c r="B15" s="12" t="s">
        <v>20</v>
      </c>
      <c r="C15" s="22"/>
      <c r="D15" s="23"/>
      <c r="E15" s="24"/>
      <c r="F15" s="25"/>
      <c r="G15" s="26"/>
      <c r="H15" s="16" t="s">
        <v>20</v>
      </c>
      <c r="I15" s="17" t="s">
        <v>20</v>
      </c>
      <c r="J15" s="27"/>
      <c r="K15" s="19"/>
    </row>
    <row r="16" spans="1:17">
      <c r="A16" s="10" t="s">
        <v>39</v>
      </c>
      <c r="B16" s="12" t="s">
        <v>20</v>
      </c>
      <c r="C16" s="22"/>
      <c r="D16" s="23"/>
      <c r="E16" s="24"/>
      <c r="F16" s="25"/>
      <c r="G16" s="26"/>
      <c r="H16" s="16" t="s">
        <v>20</v>
      </c>
      <c r="I16" s="17" t="s">
        <v>20</v>
      </c>
      <c r="J16" s="27"/>
      <c r="K16" s="19"/>
    </row>
    <row r="17" spans="1:14">
      <c r="A17" s="10" t="s">
        <v>40</v>
      </c>
      <c r="B17" s="12" t="s">
        <v>20</v>
      </c>
      <c r="C17" s="22"/>
      <c r="D17" s="23"/>
      <c r="E17" s="24"/>
      <c r="F17" s="25"/>
      <c r="G17" s="26"/>
      <c r="H17" s="16" t="s">
        <v>20</v>
      </c>
      <c r="I17" s="17" t="s">
        <v>20</v>
      </c>
      <c r="J17" s="27"/>
      <c r="K17" s="19"/>
    </row>
    <row r="18" spans="1:14">
      <c r="A18" s="10" t="s">
        <v>41</v>
      </c>
      <c r="B18" s="12" t="s">
        <v>20</v>
      </c>
      <c r="C18" s="22"/>
      <c r="D18" s="23"/>
      <c r="E18" s="24"/>
      <c r="F18" s="25"/>
      <c r="G18" s="26"/>
      <c r="H18" s="16" t="s">
        <v>20</v>
      </c>
      <c r="I18" s="17" t="s">
        <v>20</v>
      </c>
      <c r="J18" s="27"/>
      <c r="K18" s="19"/>
    </row>
    <row r="19" spans="1:14">
      <c r="A19" s="10" t="s">
        <v>42</v>
      </c>
      <c r="B19" s="12" t="s">
        <v>20</v>
      </c>
      <c r="C19" s="22"/>
      <c r="D19" s="23"/>
      <c r="E19" s="24"/>
      <c r="F19" s="25"/>
      <c r="G19" s="26"/>
      <c r="H19" s="16" t="s">
        <v>20</v>
      </c>
      <c r="I19" s="17" t="s">
        <v>20</v>
      </c>
      <c r="J19" s="27"/>
      <c r="K19" s="19"/>
    </row>
    <row r="20" spans="1:14">
      <c r="A20" s="10" t="s">
        <v>43</v>
      </c>
      <c r="B20" s="12" t="s">
        <v>20</v>
      </c>
      <c r="C20" s="22"/>
      <c r="D20" s="23"/>
      <c r="E20" s="24"/>
      <c r="F20" s="25"/>
      <c r="G20" s="26"/>
      <c r="H20" s="16" t="s">
        <v>20</v>
      </c>
      <c r="I20" s="17" t="s">
        <v>20</v>
      </c>
      <c r="J20" s="27"/>
      <c r="K20" s="19"/>
      <c r="L20" s="18">
        <v>200</v>
      </c>
      <c r="M20" s="4">
        <v>200</v>
      </c>
    </row>
    <row r="21" spans="1:14">
      <c r="A21" s="44" t="s">
        <v>44</v>
      </c>
      <c r="B21" s="45" t="s">
        <v>45</v>
      </c>
      <c r="C21" s="46" t="s">
        <v>16</v>
      </c>
      <c r="D21" s="47" t="s">
        <v>46</v>
      </c>
      <c r="E21" s="48">
        <v>-130</v>
      </c>
      <c r="F21" s="49">
        <f>5*1.3</f>
        <v>6.5</v>
      </c>
      <c r="G21" s="50" t="s">
        <v>19</v>
      </c>
      <c r="H21" s="16" t="s">
        <v>20</v>
      </c>
      <c r="I21" s="17">
        <v>5</v>
      </c>
      <c r="J21" s="27"/>
      <c r="K21" s="19"/>
    </row>
    <row r="22" spans="1:14">
      <c r="A22" s="51"/>
      <c r="B22" s="52" t="s">
        <v>47</v>
      </c>
      <c r="C22" s="53" t="s">
        <v>16</v>
      </c>
      <c r="D22" s="54" t="s">
        <v>46</v>
      </c>
      <c r="E22" s="55">
        <v>-130</v>
      </c>
      <c r="F22" s="56">
        <f>5*1.3</f>
        <v>6.5</v>
      </c>
      <c r="G22" s="17" t="s">
        <v>19</v>
      </c>
      <c r="H22" s="16" t="s">
        <v>20</v>
      </c>
      <c r="I22" s="17">
        <v>5</v>
      </c>
      <c r="J22" s="27"/>
      <c r="K22" s="19"/>
    </row>
    <row r="23" spans="1:14">
      <c r="A23" s="57"/>
      <c r="B23" s="58" t="s">
        <v>48</v>
      </c>
      <c r="C23" s="59" t="s">
        <v>16</v>
      </c>
      <c r="D23" s="60" t="s">
        <v>49</v>
      </c>
      <c r="E23" s="61">
        <v>-140</v>
      </c>
      <c r="F23" s="62">
        <f>5*1.4</f>
        <v>7</v>
      </c>
      <c r="G23" s="63" t="s">
        <v>19</v>
      </c>
      <c r="H23" s="16" t="s">
        <v>20</v>
      </c>
      <c r="I23" s="17">
        <v>5</v>
      </c>
      <c r="J23" s="27"/>
      <c r="K23" s="19"/>
      <c r="L23" s="5">
        <f>L20-SUM(H21:H23)+SUM(I21:I23)</f>
        <v>215</v>
      </c>
      <c r="M23" s="9">
        <f>M19-SUM(H21:H23)+SUM(I21:I23)</f>
        <v>15</v>
      </c>
    </row>
    <row r="24" spans="1:14">
      <c r="A24" s="10" t="s">
        <v>50</v>
      </c>
      <c r="B24" s="12" t="s">
        <v>20</v>
      </c>
      <c r="C24" s="22"/>
      <c r="D24" s="23"/>
      <c r="E24" s="24"/>
      <c r="F24" s="25"/>
      <c r="G24" s="26"/>
      <c r="H24" s="16" t="s">
        <v>20</v>
      </c>
      <c r="I24" s="17" t="s">
        <v>20</v>
      </c>
      <c r="J24" s="27"/>
      <c r="K24" s="19"/>
    </row>
    <row r="25" spans="1:14">
      <c r="A25" s="10" t="s">
        <v>51</v>
      </c>
      <c r="B25" s="12" t="s">
        <v>20</v>
      </c>
      <c r="C25" s="22"/>
      <c r="D25" s="23"/>
      <c r="E25" s="24"/>
      <c r="F25" s="25"/>
      <c r="G25" s="26"/>
      <c r="H25" s="16" t="s">
        <v>20</v>
      </c>
      <c r="I25" s="17" t="s">
        <v>20</v>
      </c>
      <c r="J25" s="27"/>
      <c r="K25" s="19"/>
    </row>
    <row r="26" spans="1:14">
      <c r="A26" s="10" t="s">
        <v>52</v>
      </c>
      <c r="B26" s="64" t="s">
        <v>53</v>
      </c>
      <c r="C26" s="12" t="s">
        <v>16</v>
      </c>
      <c r="D26" s="13" t="s">
        <v>54</v>
      </c>
      <c r="E26" s="65">
        <v>-120</v>
      </c>
      <c r="F26" s="66">
        <f>5*1.2</f>
        <v>6</v>
      </c>
      <c r="G26" s="15" t="s">
        <v>19</v>
      </c>
      <c r="H26" s="5" t="s">
        <v>20</v>
      </c>
      <c r="I26" s="5">
        <v>5</v>
      </c>
      <c r="J26" s="27"/>
      <c r="K26" s="19"/>
      <c r="L26" s="5">
        <f>L23-SUM(H26)+SUM(I26)</f>
        <v>220</v>
      </c>
      <c r="M26" s="9">
        <f>M23-SUM(H26)+SUM(I26)</f>
        <v>20</v>
      </c>
    </row>
    <row r="27" spans="1:14">
      <c r="A27" s="10" t="s">
        <v>55</v>
      </c>
      <c r="B27" s="64" t="s">
        <v>56</v>
      </c>
      <c r="C27" s="12" t="s">
        <v>16</v>
      </c>
      <c r="D27" s="13" t="s">
        <v>46</v>
      </c>
      <c r="E27" s="65">
        <v>-130</v>
      </c>
      <c r="F27" s="66">
        <f>5*1.3</f>
        <v>6.5</v>
      </c>
      <c r="G27" s="15" t="s">
        <v>19</v>
      </c>
      <c r="H27" s="5" t="s">
        <v>20</v>
      </c>
      <c r="I27" s="5">
        <v>5</v>
      </c>
      <c r="J27" s="27"/>
      <c r="K27" s="19"/>
      <c r="L27" s="5">
        <f>L26-SUM(H27)+SUM(I27)</f>
        <v>225</v>
      </c>
      <c r="M27" s="9">
        <f>M26-SUM(H27)+SUM(I27)</f>
        <v>25</v>
      </c>
    </row>
    <row r="28" spans="1:14">
      <c r="A28" s="44" t="s">
        <v>57</v>
      </c>
      <c r="B28" s="45" t="s">
        <v>56</v>
      </c>
      <c r="C28" s="46" t="s">
        <v>16</v>
      </c>
      <c r="D28" s="47" t="s">
        <v>54</v>
      </c>
      <c r="E28" s="67">
        <v>-150</v>
      </c>
      <c r="F28" s="48">
        <f>5*1.5</f>
        <v>7.5</v>
      </c>
      <c r="G28" s="50" t="s">
        <v>58</v>
      </c>
      <c r="H28" s="68">
        <v>7.5</v>
      </c>
      <c r="I28" s="5" t="s">
        <v>20</v>
      </c>
      <c r="J28" s="27"/>
      <c r="K28" s="19"/>
    </row>
    <row r="29" spans="1:14">
      <c r="A29" s="57"/>
      <c r="B29" s="58" t="s">
        <v>59</v>
      </c>
      <c r="C29" s="59" t="s">
        <v>60</v>
      </c>
      <c r="D29" s="60" t="s">
        <v>49</v>
      </c>
      <c r="E29" s="69">
        <v>-130</v>
      </c>
      <c r="F29" s="61">
        <f>5*1.3</f>
        <v>6.5</v>
      </c>
      <c r="G29" s="63" t="s">
        <v>58</v>
      </c>
      <c r="H29" s="68">
        <v>6.5</v>
      </c>
      <c r="I29" s="5" t="s">
        <v>20</v>
      </c>
      <c r="J29" s="27"/>
      <c r="K29" s="19"/>
      <c r="L29" s="5">
        <f>L27-SUM(H28:H29)+SUM(I28:I29)</f>
        <v>211</v>
      </c>
      <c r="M29" s="9">
        <f>M27-SUM(H28:H29)+SUM(I28:I29)</f>
        <v>11</v>
      </c>
    </row>
    <row r="30" spans="1:14">
      <c r="A30" s="10" t="s">
        <v>61</v>
      </c>
      <c r="B30" s="12" t="s">
        <v>20</v>
      </c>
      <c r="C30" s="12"/>
      <c r="D30" s="13"/>
      <c r="E30" s="66"/>
      <c r="F30" s="66"/>
      <c r="G30" s="15"/>
      <c r="H30" s="68" t="s">
        <v>20</v>
      </c>
      <c r="I30" s="5" t="s">
        <v>20</v>
      </c>
      <c r="J30" s="27"/>
      <c r="K30" s="19"/>
      <c r="N30" s="70"/>
    </row>
    <row r="31" spans="1:14">
      <c r="A31" s="44" t="s">
        <v>62</v>
      </c>
      <c r="B31" s="45" t="s">
        <v>59</v>
      </c>
      <c r="C31" s="46" t="s">
        <v>63</v>
      </c>
      <c r="D31" s="47" t="s">
        <v>54</v>
      </c>
      <c r="E31" s="67">
        <v>-140</v>
      </c>
      <c r="F31" s="48">
        <f>(H28+5)*1.4</f>
        <v>17.5</v>
      </c>
      <c r="G31" s="50" t="s">
        <v>19</v>
      </c>
      <c r="H31" s="68" t="s">
        <v>20</v>
      </c>
      <c r="I31" s="5">
        <f>H28+5</f>
        <v>12.5</v>
      </c>
      <c r="J31" s="27"/>
      <c r="K31" s="19">
        <f>H28+5</f>
        <v>12.5</v>
      </c>
    </row>
    <row r="32" spans="1:14">
      <c r="A32" s="57"/>
      <c r="B32" s="58" t="s">
        <v>64</v>
      </c>
      <c r="C32" s="59" t="s">
        <v>65</v>
      </c>
      <c r="D32" s="60" t="s">
        <v>66</v>
      </c>
      <c r="E32" s="69">
        <v>-130</v>
      </c>
      <c r="F32" s="61">
        <f>(H29+5)*1.3</f>
        <v>14.950000000000001</v>
      </c>
      <c r="G32" s="63" t="s">
        <v>58</v>
      </c>
      <c r="H32" s="68">
        <v>14.95</v>
      </c>
      <c r="I32" s="5" t="s">
        <v>20</v>
      </c>
      <c r="J32" s="27">
        <f>(H29+5)*1.1</f>
        <v>12.65</v>
      </c>
      <c r="K32" s="19"/>
      <c r="L32" s="5">
        <f>L29-SUM(H31:H32)+SUM(I31:I32)</f>
        <v>208.55</v>
      </c>
      <c r="M32" s="9">
        <f>M29-SUM(H31:H32)+SUM(I31:I32)</f>
        <v>8.5500000000000007</v>
      </c>
    </row>
    <row r="33" spans="1:18">
      <c r="A33" s="10" t="s">
        <v>67</v>
      </c>
      <c r="B33" s="11" t="s">
        <v>68</v>
      </c>
      <c r="C33" s="12" t="s">
        <v>69</v>
      </c>
      <c r="D33" s="13" t="s">
        <v>70</v>
      </c>
      <c r="E33" s="66">
        <v>-130</v>
      </c>
      <c r="F33" s="66">
        <f>(H29+H32+5.15)*1.3</f>
        <v>34.580000000000005</v>
      </c>
      <c r="G33" s="15" t="s">
        <v>58</v>
      </c>
      <c r="H33" s="68">
        <v>34.58</v>
      </c>
      <c r="I33" s="5" t="s">
        <v>20</v>
      </c>
      <c r="J33" s="27"/>
      <c r="K33" s="19"/>
      <c r="L33" s="5">
        <f>L32-SUM(H33)+SUM(I33)</f>
        <v>173.97000000000003</v>
      </c>
      <c r="M33" s="9">
        <f>M32-SUM(H33)+SUM(I33)</f>
        <v>-26.029999999999998</v>
      </c>
    </row>
    <row r="34" spans="1:18">
      <c r="A34" s="10" t="s">
        <v>71</v>
      </c>
      <c r="B34" s="11" t="s">
        <v>53</v>
      </c>
      <c r="C34" s="12" t="s">
        <v>72</v>
      </c>
      <c r="D34" s="13" t="s">
        <v>73</v>
      </c>
      <c r="E34" s="66">
        <v>-140</v>
      </c>
      <c r="F34" s="71">
        <f>(H29+H32+H33+5.01)*1.4</f>
        <v>85.455999999999989</v>
      </c>
      <c r="G34" s="15" t="s">
        <v>58</v>
      </c>
      <c r="H34" s="68">
        <v>85.46</v>
      </c>
      <c r="I34" s="5" t="s">
        <v>20</v>
      </c>
      <c r="J34" s="27">
        <f>H29+H32+H33+H34</f>
        <v>141.49</v>
      </c>
      <c r="K34" s="19"/>
      <c r="L34" s="5">
        <f>L33-SUM(H34)+SUM(I34)</f>
        <v>88.510000000000034</v>
      </c>
      <c r="M34" s="9">
        <f>M33-SUM(H34)+SUM(I34)</f>
        <v>-111.49</v>
      </c>
    </row>
    <row r="35" spans="1:18">
      <c r="A35" s="10" t="s">
        <v>74</v>
      </c>
      <c r="B35" s="11" t="s">
        <v>75</v>
      </c>
      <c r="C35" s="12" t="s">
        <v>16</v>
      </c>
      <c r="D35" s="13" t="s">
        <v>49</v>
      </c>
      <c r="E35" s="66">
        <v>-130</v>
      </c>
      <c r="F35" s="71">
        <f>(H32+H33+5)*1.3</f>
        <v>70.88900000000001</v>
      </c>
      <c r="G35" s="15" t="s">
        <v>19</v>
      </c>
      <c r="H35" s="5" t="s">
        <v>20</v>
      </c>
      <c r="I35" s="5">
        <f>H32+H33+5</f>
        <v>54.53</v>
      </c>
      <c r="J35" s="27"/>
      <c r="K35" s="19">
        <f>H32+H33</f>
        <v>49.53</v>
      </c>
      <c r="L35" s="5">
        <f>L34-SUM(H35)+SUM(I35)</f>
        <v>143.04000000000002</v>
      </c>
      <c r="M35" s="9">
        <f>M34-SUM(H35)+SUM(I35)</f>
        <v>-56.959999999999994</v>
      </c>
      <c r="P35">
        <f>400-68.88</f>
        <v>331.12</v>
      </c>
    </row>
    <row r="36" spans="1:18">
      <c r="A36" s="10" t="s">
        <v>76</v>
      </c>
      <c r="B36" s="11" t="s">
        <v>53</v>
      </c>
      <c r="C36" s="12" t="s">
        <v>16</v>
      </c>
      <c r="D36" s="13" t="s">
        <v>66</v>
      </c>
      <c r="E36" s="66">
        <v>-140</v>
      </c>
      <c r="F36" s="71">
        <f>(H29+H33+5)*1.4</f>
        <v>64.512</v>
      </c>
      <c r="G36" s="15" t="s">
        <v>19</v>
      </c>
      <c r="H36" s="5" t="s">
        <v>20</v>
      </c>
      <c r="I36" s="5">
        <f>H29+H33+5</f>
        <v>46.08</v>
      </c>
      <c r="J36" s="27"/>
      <c r="K36" s="19">
        <f>H29+H33</f>
        <v>41.08</v>
      </c>
      <c r="L36" s="5">
        <f>L35-SUM(H36)+SUM(I36)</f>
        <v>189.12</v>
      </c>
      <c r="M36" s="9">
        <f>M35-SUM(H36)+SUM(I36)</f>
        <v>-10.879999999999995</v>
      </c>
    </row>
    <row r="37" spans="1:18">
      <c r="A37" s="44" t="s">
        <v>77</v>
      </c>
      <c r="B37" s="45" t="s">
        <v>56</v>
      </c>
      <c r="C37" s="46" t="s">
        <v>16</v>
      </c>
      <c r="D37" s="47" t="s">
        <v>49</v>
      </c>
      <c r="E37" s="48">
        <v>-140</v>
      </c>
      <c r="F37" s="48">
        <f>(15+5)*1.4</f>
        <v>28</v>
      </c>
      <c r="G37" s="50" t="s">
        <v>58</v>
      </c>
      <c r="H37" s="68">
        <v>28</v>
      </c>
      <c r="I37" s="5" t="s">
        <v>20</v>
      </c>
      <c r="J37" s="27">
        <v>28</v>
      </c>
      <c r="K37" s="19"/>
    </row>
    <row r="38" spans="1:18">
      <c r="A38" s="57"/>
      <c r="B38" s="58" t="s">
        <v>15</v>
      </c>
      <c r="C38" s="59" t="s">
        <v>16</v>
      </c>
      <c r="D38" s="60" t="s">
        <v>46</v>
      </c>
      <c r="E38" s="61">
        <v>-150</v>
      </c>
      <c r="F38" s="61">
        <f>(15+5)*1.5</f>
        <v>30</v>
      </c>
      <c r="G38" s="63" t="s">
        <v>58</v>
      </c>
      <c r="H38" s="68">
        <v>30</v>
      </c>
      <c r="I38" s="5" t="s">
        <v>20</v>
      </c>
      <c r="J38" s="27">
        <v>30</v>
      </c>
      <c r="K38" s="19"/>
      <c r="L38" s="18">
        <f>L36-SUM(H37:H38)+SUM(I37:I38)</f>
        <v>131.12</v>
      </c>
      <c r="M38" s="9">
        <f>M36-SUM(H37:H38)+SUM(I37:I38)</f>
        <v>-68.88</v>
      </c>
      <c r="N38" s="72">
        <v>200</v>
      </c>
      <c r="O38" s="73">
        <f t="shared" ref="O38" si="0">N38*0.05</f>
        <v>10</v>
      </c>
      <c r="P38" s="74">
        <f t="shared" ref="P38" si="1">N38*0.0125</f>
        <v>2.5</v>
      </c>
      <c r="Q38" s="73">
        <f t="shared" ref="Q38" si="2">N38*0.025</f>
        <v>5</v>
      </c>
      <c r="R38" s="34">
        <f t="shared" ref="R38" si="3">N38*0.08</f>
        <v>16</v>
      </c>
    </row>
    <row r="39" spans="1:18">
      <c r="A39" s="44" t="s">
        <v>78</v>
      </c>
      <c r="B39" s="45" t="s">
        <v>79</v>
      </c>
      <c r="C39" s="46" t="s">
        <v>16</v>
      </c>
      <c r="D39" s="47" t="s">
        <v>80</v>
      </c>
      <c r="E39" s="48">
        <v>-110</v>
      </c>
      <c r="F39" s="48">
        <f>10*1.1</f>
        <v>11</v>
      </c>
      <c r="G39" s="50" t="s">
        <v>58</v>
      </c>
      <c r="H39" s="75">
        <v>11</v>
      </c>
      <c r="I39" s="17" t="s">
        <v>20</v>
      </c>
      <c r="J39" s="27"/>
      <c r="K39" s="19"/>
      <c r="L39" s="18">
        <v>200</v>
      </c>
      <c r="M39" s="4">
        <v>131.12</v>
      </c>
      <c r="N39" s="32"/>
      <c r="O39" s="5"/>
    </row>
    <row r="40" spans="1:18">
      <c r="A40" s="51"/>
      <c r="B40" s="52" t="s">
        <v>81</v>
      </c>
      <c r="C40" s="53" t="s">
        <v>16</v>
      </c>
      <c r="D40" s="54" t="s">
        <v>82</v>
      </c>
      <c r="E40" s="76">
        <v>-110</v>
      </c>
      <c r="F40" s="55">
        <f>10*1.1</f>
        <v>11</v>
      </c>
      <c r="G40" s="17" t="s">
        <v>58</v>
      </c>
      <c r="H40" s="75">
        <v>11</v>
      </c>
      <c r="I40" s="17" t="s">
        <v>20</v>
      </c>
      <c r="J40" s="27"/>
      <c r="K40" s="19"/>
    </row>
    <row r="41" spans="1:18">
      <c r="A41" s="57"/>
      <c r="B41" s="58" t="s">
        <v>83</v>
      </c>
      <c r="C41" s="59" t="s">
        <v>16</v>
      </c>
      <c r="D41" s="60" t="s">
        <v>49</v>
      </c>
      <c r="E41" s="61">
        <v>-130</v>
      </c>
      <c r="F41" s="61">
        <f>10*1.3</f>
        <v>13</v>
      </c>
      <c r="G41" s="63" t="s">
        <v>58</v>
      </c>
      <c r="H41" s="75">
        <v>13</v>
      </c>
      <c r="I41" s="17" t="s">
        <v>20</v>
      </c>
      <c r="J41" s="27"/>
      <c r="K41" s="19"/>
      <c r="L41" s="5">
        <f>L39-SUM(H39:H41)+SUM(I39:I41)</f>
        <v>165</v>
      </c>
      <c r="M41" s="5">
        <f>-SUM(H39:H41)+SUM(I39:I41)</f>
        <v>-35</v>
      </c>
    </row>
    <row r="42" spans="1:18">
      <c r="A42" s="44" t="s">
        <v>84</v>
      </c>
      <c r="B42" s="45" t="s">
        <v>85</v>
      </c>
      <c r="C42" s="46" t="s">
        <v>16</v>
      </c>
      <c r="D42" s="47" t="s">
        <v>86</v>
      </c>
      <c r="E42" s="48">
        <v>-110</v>
      </c>
      <c r="F42" s="48">
        <f>10*1.1</f>
        <v>11</v>
      </c>
      <c r="G42" s="50" t="s">
        <v>58</v>
      </c>
      <c r="H42" s="75">
        <v>11</v>
      </c>
      <c r="I42" s="17" t="s">
        <v>20</v>
      </c>
      <c r="J42" s="27"/>
      <c r="K42" s="19"/>
      <c r="M42" s="5"/>
    </row>
    <row r="43" spans="1:18">
      <c r="A43" s="51"/>
      <c r="B43" s="52" t="s">
        <v>87</v>
      </c>
      <c r="C43" s="53" t="s">
        <v>16</v>
      </c>
      <c r="D43" s="54" t="s">
        <v>88</v>
      </c>
      <c r="E43" s="76">
        <v>-110</v>
      </c>
      <c r="F43" s="55">
        <f>10*1.1</f>
        <v>11</v>
      </c>
      <c r="G43" s="17" t="s">
        <v>19</v>
      </c>
      <c r="H43" s="16" t="s">
        <v>20</v>
      </c>
      <c r="I43" s="17">
        <v>10</v>
      </c>
      <c r="J43" s="27"/>
      <c r="K43" s="19"/>
      <c r="M43" s="5"/>
    </row>
    <row r="44" spans="1:18">
      <c r="A44" s="51"/>
      <c r="B44" s="52" t="s">
        <v>79</v>
      </c>
      <c r="C44" s="53" t="s">
        <v>63</v>
      </c>
      <c r="D44" s="77" t="s">
        <v>89</v>
      </c>
      <c r="E44" s="77"/>
      <c r="F44" s="77"/>
      <c r="G44" s="78"/>
      <c r="H44" s="16" t="s">
        <v>20</v>
      </c>
      <c r="I44" s="17" t="s">
        <v>20</v>
      </c>
      <c r="J44" s="27"/>
      <c r="K44" s="19"/>
      <c r="M44" s="5"/>
    </row>
    <row r="45" spans="1:18">
      <c r="A45" s="51"/>
      <c r="B45" s="52" t="s">
        <v>81</v>
      </c>
      <c r="C45" s="53" t="s">
        <v>63</v>
      </c>
      <c r="D45" s="77" t="s">
        <v>89</v>
      </c>
      <c r="E45" s="77"/>
      <c r="F45" s="77"/>
      <c r="G45" s="78"/>
      <c r="H45" s="16" t="s">
        <v>20</v>
      </c>
      <c r="I45" s="17" t="s">
        <v>20</v>
      </c>
      <c r="J45" s="27"/>
      <c r="K45" s="19"/>
      <c r="M45" s="5"/>
    </row>
    <row r="46" spans="1:18">
      <c r="A46" s="57"/>
      <c r="B46" s="58" t="s">
        <v>83</v>
      </c>
      <c r="C46" s="59" t="s">
        <v>63</v>
      </c>
      <c r="D46" s="79" t="s">
        <v>89</v>
      </c>
      <c r="E46" s="79"/>
      <c r="F46" s="79"/>
      <c r="G46" s="80"/>
      <c r="H46" s="16" t="s">
        <v>20</v>
      </c>
      <c r="I46" s="17" t="s">
        <v>20</v>
      </c>
      <c r="J46" s="27"/>
      <c r="K46" s="19"/>
      <c r="L46" s="5">
        <f>L41-SUM(H42:H46)+SUM(I42:I46)</f>
        <v>164</v>
      </c>
      <c r="M46" s="5">
        <f>M41-SUM(H42:H46)+SUM(I42:I46)</f>
        <v>-36</v>
      </c>
    </row>
    <row r="47" spans="1:18">
      <c r="A47" s="44" t="s">
        <v>90</v>
      </c>
      <c r="B47" s="45" t="s">
        <v>91</v>
      </c>
      <c r="C47" s="46" t="s">
        <v>16</v>
      </c>
      <c r="D47" s="47" t="s">
        <v>92</v>
      </c>
      <c r="E47" s="48">
        <v>-110</v>
      </c>
      <c r="F47" s="48">
        <f>10*1.1</f>
        <v>11</v>
      </c>
      <c r="G47" s="46" t="s">
        <v>20</v>
      </c>
      <c r="H47" s="16" t="s">
        <v>20</v>
      </c>
      <c r="I47" s="17" t="s">
        <v>20</v>
      </c>
      <c r="J47" s="27"/>
      <c r="K47" s="19"/>
      <c r="M47" s="5"/>
    </row>
    <row r="48" spans="1:18">
      <c r="A48" s="51"/>
      <c r="B48" s="52" t="s">
        <v>85</v>
      </c>
      <c r="C48" s="53" t="s">
        <v>63</v>
      </c>
      <c r="D48" s="77" t="s">
        <v>89</v>
      </c>
      <c r="E48" s="77"/>
      <c r="F48" s="77"/>
      <c r="G48" s="77"/>
      <c r="H48" s="16" t="s">
        <v>20</v>
      </c>
      <c r="I48" s="17" t="s">
        <v>20</v>
      </c>
      <c r="J48" s="27"/>
      <c r="K48" s="19"/>
      <c r="M48" s="5"/>
    </row>
    <row r="49" spans="1:13">
      <c r="A49" s="51"/>
      <c r="B49" s="52" t="s">
        <v>93</v>
      </c>
      <c r="C49" s="5" t="s">
        <v>94</v>
      </c>
      <c r="D49" s="54" t="s">
        <v>20</v>
      </c>
      <c r="E49" s="55">
        <v>-475</v>
      </c>
      <c r="F49" s="81">
        <f>2.5*4.75</f>
        <v>11.875</v>
      </c>
      <c r="G49" s="53" t="s">
        <v>19</v>
      </c>
      <c r="H49" s="16" t="s">
        <v>20</v>
      </c>
      <c r="I49" s="17">
        <v>2.5</v>
      </c>
      <c r="J49" s="27"/>
      <c r="K49" s="19"/>
      <c r="M49" s="5"/>
    </row>
    <row r="50" spans="1:13">
      <c r="A50" s="51"/>
      <c r="B50" s="52" t="s">
        <v>79</v>
      </c>
      <c r="C50" s="5" t="s">
        <v>94</v>
      </c>
      <c r="D50" s="54" t="s">
        <v>20</v>
      </c>
      <c r="E50" s="55">
        <v>-330</v>
      </c>
      <c r="F50" s="55">
        <f>2.5*3.3</f>
        <v>8.25</v>
      </c>
      <c r="G50" s="53" t="s">
        <v>19</v>
      </c>
      <c r="H50" s="16" t="s">
        <v>20</v>
      </c>
      <c r="I50" s="17">
        <v>2.5</v>
      </c>
      <c r="J50" s="27"/>
      <c r="K50" s="19"/>
      <c r="M50" s="5"/>
    </row>
    <row r="51" spans="1:13">
      <c r="A51" s="57"/>
      <c r="B51" s="58" t="s">
        <v>95</v>
      </c>
      <c r="C51" s="59" t="s">
        <v>94</v>
      </c>
      <c r="D51" s="60" t="s">
        <v>20</v>
      </c>
      <c r="E51" s="61">
        <v>-550</v>
      </c>
      <c r="F51" s="61">
        <f>5*5.5</f>
        <v>27.5</v>
      </c>
      <c r="G51" s="59" t="s">
        <v>19</v>
      </c>
      <c r="H51" s="16" t="s">
        <v>20</v>
      </c>
      <c r="I51" s="17">
        <v>5</v>
      </c>
      <c r="J51" s="27"/>
      <c r="K51" s="19"/>
      <c r="L51" s="5">
        <f>L46-SUM(H47:H51)+SUM(I47:I51)</f>
        <v>174</v>
      </c>
      <c r="M51" s="5">
        <f>M46-SUM(H47:H51)+SUM(I47:I51)</f>
        <v>-26</v>
      </c>
    </row>
    <row r="52" spans="1:13">
      <c r="A52" s="44" t="s">
        <v>96</v>
      </c>
      <c r="B52" s="45" t="s">
        <v>85</v>
      </c>
      <c r="C52" s="46" t="s">
        <v>94</v>
      </c>
      <c r="D52" s="47" t="s">
        <v>20</v>
      </c>
      <c r="E52" s="67">
        <v>-475</v>
      </c>
      <c r="F52" s="82">
        <f>2.5*4.75</f>
        <v>11.875</v>
      </c>
      <c r="G52" s="50" t="s">
        <v>19</v>
      </c>
      <c r="H52" s="16" t="s">
        <v>20</v>
      </c>
      <c r="I52" s="17">
        <v>2.5</v>
      </c>
      <c r="J52" s="27"/>
      <c r="K52" s="19"/>
      <c r="M52" s="5"/>
    </row>
    <row r="53" spans="1:13">
      <c r="A53" s="51"/>
      <c r="B53" s="52" t="s">
        <v>97</v>
      </c>
      <c r="C53" s="5" t="s">
        <v>94</v>
      </c>
      <c r="D53" s="54" t="s">
        <v>20</v>
      </c>
      <c r="E53" s="76">
        <v>-330</v>
      </c>
      <c r="F53" s="55">
        <f>5*3.3</f>
        <v>16.5</v>
      </c>
      <c r="G53" s="17" t="s">
        <v>19</v>
      </c>
      <c r="H53" s="16" t="s">
        <v>20</v>
      </c>
      <c r="I53" s="17">
        <v>5</v>
      </c>
      <c r="J53" s="27"/>
      <c r="K53" s="19"/>
      <c r="M53" s="5"/>
    </row>
    <row r="54" spans="1:13">
      <c r="A54" s="57"/>
      <c r="B54" s="83" t="s">
        <v>45</v>
      </c>
      <c r="C54" s="59" t="s">
        <v>16</v>
      </c>
      <c r="D54" s="60" t="s">
        <v>54</v>
      </c>
      <c r="E54" s="61">
        <v>-120</v>
      </c>
      <c r="F54" s="61">
        <f>10*1.2</f>
        <v>12</v>
      </c>
      <c r="G54" s="63" t="s">
        <v>58</v>
      </c>
      <c r="H54" s="75">
        <v>12</v>
      </c>
      <c r="I54" s="17" t="s">
        <v>20</v>
      </c>
      <c r="J54" s="27"/>
      <c r="K54" s="19"/>
      <c r="L54" s="5">
        <f>L51-SUM(H52:H54)+SUM(I52:I54)</f>
        <v>169.5</v>
      </c>
      <c r="M54" s="5">
        <f>M51-SUM(H52:H54)+SUM(I52:I54)</f>
        <v>-30.5</v>
      </c>
    </row>
    <row r="55" spans="1:13">
      <c r="A55" s="44" t="s">
        <v>98</v>
      </c>
      <c r="B55" s="45" t="s">
        <v>93</v>
      </c>
      <c r="C55" s="5" t="s">
        <v>94</v>
      </c>
      <c r="D55" s="47" t="s">
        <v>20</v>
      </c>
      <c r="E55" s="67">
        <v>-1200</v>
      </c>
      <c r="F55" s="48">
        <f>5*12</f>
        <v>60</v>
      </c>
      <c r="G55" s="50" t="s">
        <v>19</v>
      </c>
      <c r="H55" s="16" t="s">
        <v>20</v>
      </c>
      <c r="I55" s="17">
        <v>5</v>
      </c>
      <c r="J55" s="27"/>
      <c r="K55" s="19"/>
      <c r="M55" s="5"/>
    </row>
    <row r="56" spans="1:13">
      <c r="A56" s="51"/>
      <c r="B56" s="52" t="s">
        <v>87</v>
      </c>
      <c r="C56" s="5" t="s">
        <v>94</v>
      </c>
      <c r="D56" s="54" t="s">
        <v>20</v>
      </c>
      <c r="E56" s="76">
        <v>-800</v>
      </c>
      <c r="F56" s="55">
        <f>5*8</f>
        <v>40</v>
      </c>
      <c r="G56" s="17" t="s">
        <v>19</v>
      </c>
      <c r="H56" s="16" t="s">
        <v>20</v>
      </c>
      <c r="I56" s="17">
        <v>5</v>
      </c>
      <c r="J56" s="27"/>
      <c r="K56" s="19"/>
      <c r="M56" s="5"/>
    </row>
    <row r="57" spans="1:13">
      <c r="A57" s="51"/>
      <c r="B57" s="52" t="s">
        <v>45</v>
      </c>
      <c r="C57" s="53" t="s">
        <v>63</v>
      </c>
      <c r="D57" s="77" t="s">
        <v>89</v>
      </c>
      <c r="E57" s="77"/>
      <c r="F57" s="77"/>
      <c r="G57" s="77"/>
      <c r="H57" s="16" t="s">
        <v>20</v>
      </c>
      <c r="I57" s="17" t="s">
        <v>20</v>
      </c>
      <c r="J57" s="27"/>
      <c r="K57" s="19"/>
      <c r="M57" s="5"/>
    </row>
    <row r="58" spans="1:13">
      <c r="A58" s="51"/>
      <c r="B58" s="52" t="s">
        <v>99</v>
      </c>
      <c r="C58" s="53" t="s">
        <v>16</v>
      </c>
      <c r="D58" s="54" t="s">
        <v>54</v>
      </c>
      <c r="E58" s="76">
        <v>-130</v>
      </c>
      <c r="F58" s="55">
        <f>10*1.3</f>
        <v>13</v>
      </c>
      <c r="G58" s="17" t="s">
        <v>19</v>
      </c>
      <c r="H58" s="16" t="s">
        <v>20</v>
      </c>
      <c r="I58" s="17">
        <v>10</v>
      </c>
      <c r="J58" s="27"/>
      <c r="K58" s="19"/>
      <c r="M58" s="5"/>
    </row>
    <row r="59" spans="1:13">
      <c r="A59" s="57"/>
      <c r="B59" s="83" t="s">
        <v>15</v>
      </c>
      <c r="C59" s="59" t="s">
        <v>16</v>
      </c>
      <c r="D59" s="60" t="s">
        <v>46</v>
      </c>
      <c r="E59" s="61">
        <v>-130</v>
      </c>
      <c r="F59" s="61">
        <f>10*1.3</f>
        <v>13</v>
      </c>
      <c r="G59" s="63" t="s">
        <v>58</v>
      </c>
      <c r="H59" s="84">
        <v>13</v>
      </c>
      <c r="I59" s="17" t="s">
        <v>20</v>
      </c>
      <c r="J59" s="27"/>
      <c r="K59" s="19"/>
      <c r="L59" s="5">
        <f>L54-SUM(H55:H59)+SUM(I55:I59)</f>
        <v>176.5</v>
      </c>
      <c r="M59" s="5">
        <f>M54-SUM(H55:H59)+SUM(I55:I59)</f>
        <v>-23.5</v>
      </c>
    </row>
    <row r="60" spans="1:13">
      <c r="A60" s="44" t="s">
        <v>100</v>
      </c>
      <c r="B60" s="45" t="s">
        <v>81</v>
      </c>
      <c r="C60" s="46" t="s">
        <v>63</v>
      </c>
      <c r="D60" s="47" t="s">
        <v>86</v>
      </c>
      <c r="E60" s="67">
        <v>-110</v>
      </c>
      <c r="F60" s="48">
        <f>(H40+10)*1.1</f>
        <v>23.1</v>
      </c>
      <c r="G60" s="50" t="s">
        <v>58</v>
      </c>
      <c r="H60" s="75">
        <v>23.1</v>
      </c>
      <c r="I60" s="17" t="s">
        <v>20</v>
      </c>
      <c r="J60" s="27"/>
      <c r="K60" s="19"/>
      <c r="M60" s="5"/>
    </row>
    <row r="61" spans="1:13">
      <c r="A61" s="51"/>
      <c r="B61" s="52" t="s">
        <v>85</v>
      </c>
      <c r="C61" s="5" t="s">
        <v>94</v>
      </c>
      <c r="D61" s="54" t="s">
        <v>20</v>
      </c>
      <c r="E61" s="76">
        <v>-900</v>
      </c>
      <c r="F61" s="55">
        <f>2.5*9</f>
        <v>22.5</v>
      </c>
      <c r="G61" s="17" t="s">
        <v>19</v>
      </c>
      <c r="H61" s="16" t="s">
        <v>20</v>
      </c>
      <c r="I61" s="17">
        <v>2.5</v>
      </c>
      <c r="J61" s="27"/>
      <c r="K61" s="19"/>
      <c r="M61" s="5"/>
    </row>
    <row r="62" spans="1:13">
      <c r="A62" s="57"/>
      <c r="B62" s="83" t="s">
        <v>53</v>
      </c>
      <c r="C62" s="59" t="s">
        <v>16</v>
      </c>
      <c r="D62" s="60" t="s">
        <v>46</v>
      </c>
      <c r="E62" s="61">
        <v>-140</v>
      </c>
      <c r="F62" s="61">
        <f>10*1.4</f>
        <v>14</v>
      </c>
      <c r="G62" s="63" t="s">
        <v>58</v>
      </c>
      <c r="H62" s="75">
        <v>14</v>
      </c>
      <c r="I62" s="17" t="s">
        <v>20</v>
      </c>
      <c r="J62" s="27"/>
      <c r="K62" s="19"/>
      <c r="L62" s="5">
        <f>L59-SUM(H60:H62)+SUM(I60:I62)</f>
        <v>141.9</v>
      </c>
      <c r="M62" s="5">
        <f>M59-SUM(H60:H62)+SUM(I60:I62)</f>
        <v>-58.1</v>
      </c>
    </row>
    <row r="63" spans="1:13">
      <c r="A63" s="44" t="s">
        <v>101</v>
      </c>
      <c r="B63" s="45" t="s">
        <v>59</v>
      </c>
      <c r="C63" s="46" t="s">
        <v>16</v>
      </c>
      <c r="D63" s="47" t="s">
        <v>49</v>
      </c>
      <c r="E63" s="67">
        <v>-130</v>
      </c>
      <c r="F63" s="48">
        <f>16*1.3</f>
        <v>20.8</v>
      </c>
      <c r="G63" s="50" t="s">
        <v>19</v>
      </c>
      <c r="H63" s="16" t="s">
        <v>20</v>
      </c>
      <c r="I63" s="17">
        <v>16</v>
      </c>
      <c r="J63" s="27"/>
      <c r="K63" s="19"/>
      <c r="M63" s="5"/>
    </row>
    <row r="64" spans="1:13">
      <c r="A64" s="51"/>
      <c r="B64" s="52" t="s">
        <v>45</v>
      </c>
      <c r="C64" s="53" t="s">
        <v>63</v>
      </c>
      <c r="D64" s="54" t="s">
        <v>102</v>
      </c>
      <c r="E64" s="76">
        <v>-140</v>
      </c>
      <c r="F64" s="55">
        <f>(H54+10)*1.4</f>
        <v>30.799999999999997</v>
      </c>
      <c r="G64" s="17" t="s">
        <v>19</v>
      </c>
      <c r="H64" s="16" t="s">
        <v>20</v>
      </c>
      <c r="I64" s="17">
        <f>H54+10</f>
        <v>22</v>
      </c>
      <c r="J64" s="27"/>
      <c r="K64" s="19"/>
      <c r="M64" s="5"/>
    </row>
    <row r="65" spans="1:18">
      <c r="A65" s="51"/>
      <c r="B65" s="52" t="s">
        <v>64</v>
      </c>
      <c r="C65" s="53" t="s">
        <v>16</v>
      </c>
      <c r="D65" s="54" t="s">
        <v>49</v>
      </c>
      <c r="E65" s="55">
        <v>-130</v>
      </c>
      <c r="F65" s="55">
        <f>10*1.3</f>
        <v>13</v>
      </c>
      <c r="G65" s="17" t="s">
        <v>19</v>
      </c>
      <c r="H65" s="16" t="s">
        <v>20</v>
      </c>
      <c r="I65" s="17">
        <v>10</v>
      </c>
      <c r="J65" s="27"/>
      <c r="K65" s="19"/>
      <c r="M65" s="5"/>
    </row>
    <row r="66" spans="1:18">
      <c r="A66" s="51"/>
      <c r="B66" s="52" t="s">
        <v>53</v>
      </c>
      <c r="C66" s="53" t="s">
        <v>63</v>
      </c>
      <c r="D66" s="77" t="s">
        <v>89</v>
      </c>
      <c r="E66" s="77"/>
      <c r="F66" s="77"/>
      <c r="G66" s="78"/>
      <c r="H66" s="16" t="s">
        <v>20</v>
      </c>
      <c r="I66" s="17" t="s">
        <v>20</v>
      </c>
      <c r="J66" s="27"/>
      <c r="K66" s="19"/>
      <c r="M66" s="5"/>
    </row>
    <row r="67" spans="1:18">
      <c r="A67" s="51"/>
      <c r="B67" s="52" t="s">
        <v>79</v>
      </c>
      <c r="C67" s="53" t="s">
        <v>63</v>
      </c>
      <c r="D67" s="54" t="s">
        <v>103</v>
      </c>
      <c r="E67" s="55">
        <v>-110</v>
      </c>
      <c r="F67" s="55">
        <f>(H39+10)*1.1</f>
        <v>23.1</v>
      </c>
      <c r="G67" s="17" t="s">
        <v>58</v>
      </c>
      <c r="H67" s="75">
        <v>23.1</v>
      </c>
      <c r="I67" s="17" t="s">
        <v>20</v>
      </c>
      <c r="J67" s="27"/>
      <c r="K67" s="19"/>
      <c r="M67" s="5"/>
    </row>
    <row r="68" spans="1:18">
      <c r="A68" s="51"/>
      <c r="B68" s="52" t="s">
        <v>95</v>
      </c>
      <c r="C68" s="53" t="s">
        <v>16</v>
      </c>
      <c r="D68" s="54" t="s">
        <v>104</v>
      </c>
      <c r="E68" s="55">
        <v>-110</v>
      </c>
      <c r="F68" s="55">
        <f>10*1.1</f>
        <v>11</v>
      </c>
      <c r="G68" s="17" t="s">
        <v>19</v>
      </c>
      <c r="H68" s="16" t="s">
        <v>20</v>
      </c>
      <c r="I68" s="17">
        <v>10</v>
      </c>
      <c r="J68" s="27"/>
      <c r="K68" s="19"/>
      <c r="M68" s="5"/>
    </row>
    <row r="69" spans="1:18">
      <c r="A69" s="51"/>
      <c r="B69" s="52" t="s">
        <v>85</v>
      </c>
      <c r="C69" s="53" t="s">
        <v>63</v>
      </c>
      <c r="D69" s="54" t="s">
        <v>103</v>
      </c>
      <c r="E69" s="55">
        <v>-110</v>
      </c>
      <c r="F69" s="55">
        <f>(H42+10)*1.1</f>
        <v>23.1</v>
      </c>
      <c r="G69" s="17" t="s">
        <v>19</v>
      </c>
      <c r="H69" s="16" t="s">
        <v>20</v>
      </c>
      <c r="I69" s="17">
        <f>H42+10</f>
        <v>21</v>
      </c>
      <c r="J69" s="27"/>
      <c r="K69" s="19"/>
      <c r="M69" s="5"/>
    </row>
    <row r="70" spans="1:18">
      <c r="A70" s="51"/>
      <c r="B70" s="52" t="s">
        <v>81</v>
      </c>
      <c r="C70" s="53" t="s">
        <v>105</v>
      </c>
      <c r="D70" s="77" t="s">
        <v>89</v>
      </c>
      <c r="E70" s="77"/>
      <c r="F70" s="77"/>
      <c r="G70" s="78"/>
      <c r="H70" s="16" t="s">
        <v>20</v>
      </c>
      <c r="I70" s="17" t="s">
        <v>20</v>
      </c>
      <c r="J70" s="27"/>
      <c r="K70" s="19"/>
      <c r="M70" s="5"/>
    </row>
    <row r="71" spans="1:18">
      <c r="A71" s="51"/>
      <c r="B71" s="52" t="s">
        <v>97</v>
      </c>
      <c r="C71" s="5" t="s">
        <v>94</v>
      </c>
      <c r="D71" s="54" t="s">
        <v>20</v>
      </c>
      <c r="E71" s="55">
        <v>-500</v>
      </c>
      <c r="F71" s="55">
        <f>5*5</f>
        <v>25</v>
      </c>
      <c r="G71" s="17" t="s">
        <v>19</v>
      </c>
      <c r="H71" s="16" t="s">
        <v>20</v>
      </c>
      <c r="I71" s="17">
        <v>5</v>
      </c>
      <c r="J71" s="27"/>
      <c r="K71" s="19"/>
      <c r="M71" s="5"/>
    </row>
    <row r="72" spans="1:18">
      <c r="A72" s="57"/>
      <c r="B72" s="58" t="s">
        <v>95</v>
      </c>
      <c r="C72" s="5" t="s">
        <v>94</v>
      </c>
      <c r="D72" s="60" t="s">
        <v>20</v>
      </c>
      <c r="E72" s="61">
        <v>-220</v>
      </c>
      <c r="F72" s="61">
        <f>2.5*2.2</f>
        <v>5.5</v>
      </c>
      <c r="G72" s="63" t="s">
        <v>19</v>
      </c>
      <c r="H72" s="16" t="s">
        <v>20</v>
      </c>
      <c r="I72" s="17">
        <v>2.5</v>
      </c>
      <c r="J72" s="27"/>
      <c r="K72" s="19"/>
      <c r="L72" s="5">
        <f>L62-SUM(H63:H72)+SUM(I63:I72)</f>
        <v>205.3</v>
      </c>
      <c r="M72" s="5">
        <f>M62-SUM(H63:H72)+SUM(I63:I72)</f>
        <v>5.2999999999999972</v>
      </c>
    </row>
    <row r="73" spans="1:18">
      <c r="A73" s="44" t="s">
        <v>106</v>
      </c>
      <c r="B73" s="45" t="s">
        <v>79</v>
      </c>
      <c r="C73" s="46" t="s">
        <v>105</v>
      </c>
      <c r="D73" s="47" t="s">
        <v>92</v>
      </c>
      <c r="E73" s="67">
        <v>-130</v>
      </c>
      <c r="F73" s="48">
        <f>(H39+H67+5)*1.3</f>
        <v>50.830000000000005</v>
      </c>
      <c r="G73" s="50" t="s">
        <v>19</v>
      </c>
      <c r="H73" s="16" t="s">
        <v>20</v>
      </c>
      <c r="I73" s="17">
        <f>(H39+H67+5)</f>
        <v>39.1</v>
      </c>
      <c r="J73" s="27"/>
      <c r="K73" s="19"/>
      <c r="M73" s="5"/>
    </row>
    <row r="74" spans="1:18">
      <c r="A74" s="51"/>
      <c r="B74" s="52" t="s">
        <v>97</v>
      </c>
      <c r="C74" s="53" t="s">
        <v>16</v>
      </c>
      <c r="D74" s="54" t="s">
        <v>107</v>
      </c>
      <c r="E74" s="76">
        <v>-110</v>
      </c>
      <c r="F74" s="55">
        <f>5*1.1</f>
        <v>5.5</v>
      </c>
      <c r="G74" s="17" t="s">
        <v>19</v>
      </c>
      <c r="H74" s="16" t="s">
        <v>20</v>
      </c>
      <c r="I74" s="17">
        <v>5</v>
      </c>
      <c r="J74" s="27"/>
      <c r="K74" s="19"/>
      <c r="M74" s="5"/>
    </row>
    <row r="75" spans="1:18">
      <c r="A75" s="51"/>
      <c r="B75" s="52" t="s">
        <v>97</v>
      </c>
      <c r="C75" s="53" t="s">
        <v>94</v>
      </c>
      <c r="D75" s="54" t="s">
        <v>20</v>
      </c>
      <c r="E75" s="76">
        <v>-110</v>
      </c>
      <c r="F75" s="55">
        <f>5*1.1</f>
        <v>5.5</v>
      </c>
      <c r="G75" s="17" t="s">
        <v>19</v>
      </c>
      <c r="H75" s="16" t="s">
        <v>20</v>
      </c>
      <c r="I75" s="17">
        <v>5</v>
      </c>
      <c r="J75" s="27"/>
      <c r="K75" s="19"/>
      <c r="M75" s="5"/>
      <c r="O75" s="20">
        <v>0.05</v>
      </c>
      <c r="P75" s="43">
        <v>1.2500000000000001E-2</v>
      </c>
      <c r="Q75" s="43">
        <v>2.5000000000000001E-2</v>
      </c>
      <c r="R75" s="20">
        <v>0.08</v>
      </c>
    </row>
    <row r="76" spans="1:18">
      <c r="A76" s="57"/>
      <c r="B76" s="58" t="s">
        <v>79</v>
      </c>
      <c r="C76" s="59" t="s">
        <v>94</v>
      </c>
      <c r="D76" s="60" t="s">
        <v>20</v>
      </c>
      <c r="E76" s="69">
        <v>-300</v>
      </c>
      <c r="F76" s="61">
        <f>5*3</f>
        <v>15</v>
      </c>
      <c r="G76" s="63" t="s">
        <v>19</v>
      </c>
      <c r="H76" s="16" t="s">
        <v>20</v>
      </c>
      <c r="I76" s="17">
        <v>5</v>
      </c>
      <c r="J76" s="27"/>
      <c r="K76" s="19"/>
      <c r="L76" s="5">
        <f>L72-SUM(H73:H76)+SUM(I73:I76)</f>
        <v>259.40000000000003</v>
      </c>
      <c r="M76" s="5">
        <f>-SUM(H73:H76)+SUM(I73:I76)</f>
        <v>54.1</v>
      </c>
      <c r="N76" s="72">
        <v>260</v>
      </c>
      <c r="O76" s="73">
        <f t="shared" ref="O76" si="4">N76*0.05</f>
        <v>13</v>
      </c>
      <c r="P76" s="74">
        <f t="shared" ref="P76" si="5">N76*0.0125</f>
        <v>3.25</v>
      </c>
      <c r="Q76" s="73">
        <f t="shared" ref="Q76" si="6">N76*0.025</f>
        <v>6.5</v>
      </c>
      <c r="R76" s="34">
        <f t="shared" ref="R76" si="7">N76*0.08</f>
        <v>20.8</v>
      </c>
    </row>
    <row r="77" spans="1:18">
      <c r="A77" s="44" t="s">
        <v>108</v>
      </c>
      <c r="B77" s="85" t="s">
        <v>85</v>
      </c>
      <c r="C77" s="46" t="s">
        <v>94</v>
      </c>
      <c r="D77" s="47" t="s">
        <v>20</v>
      </c>
      <c r="E77" s="67">
        <v>-240</v>
      </c>
      <c r="F77" s="48">
        <f>3.25*2.4</f>
        <v>7.8</v>
      </c>
      <c r="G77" s="50" t="s">
        <v>19</v>
      </c>
      <c r="H77" s="16" t="s">
        <v>20</v>
      </c>
      <c r="I77" s="17">
        <v>3.25</v>
      </c>
      <c r="J77" s="27"/>
      <c r="K77" s="19"/>
      <c r="M77" s="9">
        <f>M76+M72</f>
        <v>59.4</v>
      </c>
    </row>
    <row r="78" spans="1:18">
      <c r="A78" s="51"/>
      <c r="B78" s="86" t="s">
        <v>87</v>
      </c>
      <c r="C78" s="53" t="s">
        <v>94</v>
      </c>
      <c r="D78" s="54" t="s">
        <v>20</v>
      </c>
      <c r="E78" s="76">
        <v>-130</v>
      </c>
      <c r="F78" s="81">
        <f>3.85*1.3</f>
        <v>5.0049999999999999</v>
      </c>
      <c r="G78" s="17" t="s">
        <v>58</v>
      </c>
      <c r="H78" s="75">
        <v>5.01</v>
      </c>
      <c r="I78" s="17" t="s">
        <v>20</v>
      </c>
      <c r="J78" s="27">
        <v>5.01</v>
      </c>
      <c r="K78" s="19"/>
    </row>
    <row r="79" spans="1:18">
      <c r="A79" s="51"/>
      <c r="B79" s="86" t="s">
        <v>109</v>
      </c>
      <c r="C79" s="53" t="s">
        <v>94</v>
      </c>
      <c r="D79" s="54" t="s">
        <v>20</v>
      </c>
      <c r="E79" s="55">
        <v>-800</v>
      </c>
      <c r="F79" s="55">
        <f>6.5*8</f>
        <v>52</v>
      </c>
      <c r="G79" s="17" t="s">
        <v>19</v>
      </c>
      <c r="H79" s="16" t="s">
        <v>20</v>
      </c>
      <c r="I79" s="17">
        <v>6.5</v>
      </c>
      <c r="J79" s="27"/>
      <c r="K79" s="19"/>
    </row>
    <row r="80" spans="1:18">
      <c r="A80" s="51"/>
      <c r="B80" s="86" t="s">
        <v>85</v>
      </c>
      <c r="C80" s="53" t="s">
        <v>16</v>
      </c>
      <c r="D80" s="54" t="s">
        <v>104</v>
      </c>
      <c r="E80" s="76">
        <v>-110</v>
      </c>
      <c r="F80" s="55">
        <f>13*1.1</f>
        <v>14.3</v>
      </c>
      <c r="G80" s="17" t="s">
        <v>19</v>
      </c>
      <c r="H80" s="16" t="s">
        <v>20</v>
      </c>
      <c r="I80" s="17">
        <v>13</v>
      </c>
      <c r="J80" s="27"/>
      <c r="K80" s="19"/>
    </row>
    <row r="81" spans="1:18">
      <c r="A81" s="51"/>
      <c r="B81" s="86" t="s">
        <v>87</v>
      </c>
      <c r="C81" s="53" t="s">
        <v>16</v>
      </c>
      <c r="D81" s="54" t="s">
        <v>110</v>
      </c>
      <c r="E81" s="76">
        <v>-110</v>
      </c>
      <c r="F81" s="55">
        <f>13*1.1</f>
        <v>14.3</v>
      </c>
      <c r="G81" s="17" t="s">
        <v>58</v>
      </c>
      <c r="H81" s="75">
        <v>14.3</v>
      </c>
      <c r="I81" s="17" t="s">
        <v>20</v>
      </c>
      <c r="J81" s="27"/>
      <c r="K81" s="19"/>
    </row>
    <row r="82" spans="1:18">
      <c r="A82" s="51"/>
      <c r="B82" s="86" t="s">
        <v>93</v>
      </c>
      <c r="C82" s="53" t="s">
        <v>16</v>
      </c>
      <c r="D82" s="54" t="s">
        <v>111</v>
      </c>
      <c r="E82" s="55">
        <v>-110</v>
      </c>
      <c r="F82" s="55">
        <f>13*1.1</f>
        <v>14.3</v>
      </c>
      <c r="G82" s="17" t="s">
        <v>19</v>
      </c>
      <c r="H82" s="16" t="s">
        <v>20</v>
      </c>
      <c r="I82" s="17">
        <v>13</v>
      </c>
      <c r="J82" s="27"/>
      <c r="K82" s="19"/>
    </row>
    <row r="83" spans="1:18">
      <c r="A83" s="51"/>
      <c r="B83" s="87" t="s">
        <v>85</v>
      </c>
      <c r="C83" s="53" t="s">
        <v>105</v>
      </c>
      <c r="D83" s="54" t="s">
        <v>104</v>
      </c>
      <c r="E83" s="76">
        <v>-110</v>
      </c>
      <c r="F83" s="55">
        <f>22*1.1</f>
        <v>24.200000000000003</v>
      </c>
      <c r="G83" s="17" t="s">
        <v>19</v>
      </c>
      <c r="H83" s="16" t="s">
        <v>20</v>
      </c>
      <c r="I83" s="17">
        <v>22</v>
      </c>
      <c r="J83" s="27"/>
      <c r="K83" s="19"/>
      <c r="L83" s="88" t="s">
        <v>112</v>
      </c>
      <c r="M83" s="89">
        <f>H40+H60+10</f>
        <v>44.1</v>
      </c>
    </row>
    <row r="84" spans="1:18">
      <c r="A84" s="51"/>
      <c r="B84" s="87" t="s">
        <v>87</v>
      </c>
      <c r="C84" s="53" t="s">
        <v>105</v>
      </c>
      <c r="D84" s="54" t="s">
        <v>110</v>
      </c>
      <c r="E84" s="76">
        <v>-110</v>
      </c>
      <c r="F84" s="55">
        <f>22.1*1.1</f>
        <v>24.310000000000002</v>
      </c>
      <c r="G84" s="17" t="s">
        <v>58</v>
      </c>
      <c r="H84" s="75">
        <v>24.31</v>
      </c>
      <c r="I84" s="17" t="s">
        <v>20</v>
      </c>
      <c r="J84" s="90">
        <f>(H40+H60+H84)</f>
        <v>58.41</v>
      </c>
      <c r="K84" s="19"/>
      <c r="L84" s="88" t="s">
        <v>113</v>
      </c>
      <c r="M84" s="89">
        <f>M83/2</f>
        <v>22.05</v>
      </c>
    </row>
    <row r="85" spans="1:18">
      <c r="A85" s="57"/>
      <c r="B85" s="91" t="s">
        <v>64</v>
      </c>
      <c r="C85" s="59" t="s">
        <v>16</v>
      </c>
      <c r="D85" s="60" t="s">
        <v>54</v>
      </c>
      <c r="E85" s="69">
        <v>-140</v>
      </c>
      <c r="F85" s="61">
        <f>13*1.4</f>
        <v>18.2</v>
      </c>
      <c r="G85" s="59" t="s">
        <v>58</v>
      </c>
      <c r="H85" s="84">
        <v>18.2</v>
      </c>
      <c r="I85" s="17" t="s">
        <v>20</v>
      </c>
      <c r="J85" s="27"/>
      <c r="K85" s="19"/>
      <c r="L85" s="5">
        <f>L76-SUM(H77:H85)+SUM(I77:I85)</f>
        <v>255.33000000000004</v>
      </c>
      <c r="M85" s="5">
        <f>-SUM(H77:H85)+SUM(I77:I85)</f>
        <v>-4.0700000000000074</v>
      </c>
    </row>
    <row r="86" spans="1:18">
      <c r="A86" s="44" t="s">
        <v>114</v>
      </c>
      <c r="B86" s="85" t="s">
        <v>53</v>
      </c>
      <c r="C86" s="92" t="s">
        <v>63</v>
      </c>
      <c r="D86" s="47" t="s">
        <v>66</v>
      </c>
      <c r="E86" s="67">
        <v>-140</v>
      </c>
      <c r="F86" s="48">
        <f>(H62+10)*1.4</f>
        <v>33.599999999999994</v>
      </c>
      <c r="G86" s="46" t="s">
        <v>19</v>
      </c>
      <c r="H86" s="16" t="s">
        <v>20</v>
      </c>
      <c r="I86" s="17">
        <f>H62+10</f>
        <v>24</v>
      </c>
      <c r="J86" s="27"/>
      <c r="K86" s="19"/>
      <c r="M86" s="9">
        <f>M85+M77</f>
        <v>55.329999999999991</v>
      </c>
    </row>
    <row r="87" spans="1:18">
      <c r="A87" s="51"/>
      <c r="B87" s="86" t="s">
        <v>75</v>
      </c>
      <c r="C87" s="93" t="s">
        <v>16</v>
      </c>
      <c r="D87" s="54" t="s">
        <v>46</v>
      </c>
      <c r="E87" s="76">
        <v>-120</v>
      </c>
      <c r="F87" s="55">
        <f>13*1.2</f>
        <v>15.6</v>
      </c>
      <c r="G87" s="53" t="s">
        <v>19</v>
      </c>
      <c r="H87" s="16" t="s">
        <v>20</v>
      </c>
      <c r="I87" s="17">
        <v>13</v>
      </c>
      <c r="J87" s="27"/>
      <c r="K87" s="19"/>
    </row>
    <row r="88" spans="1:18">
      <c r="A88" s="51"/>
      <c r="B88" s="86" t="s">
        <v>59</v>
      </c>
      <c r="C88" s="93" t="s">
        <v>16</v>
      </c>
      <c r="D88" s="54" t="s">
        <v>46</v>
      </c>
      <c r="E88" s="76">
        <v>-140</v>
      </c>
      <c r="F88" s="55">
        <f>13*1.4</f>
        <v>18.2</v>
      </c>
      <c r="G88" s="53" t="s">
        <v>19</v>
      </c>
      <c r="H88" s="16" t="s">
        <v>20</v>
      </c>
      <c r="I88" s="17">
        <v>13</v>
      </c>
      <c r="J88" s="27"/>
      <c r="K88" s="19"/>
    </row>
    <row r="89" spans="1:18">
      <c r="A89" s="51"/>
      <c r="B89" s="94" t="s">
        <v>64</v>
      </c>
      <c r="C89" s="93" t="s">
        <v>63</v>
      </c>
      <c r="D89" s="77" t="s">
        <v>89</v>
      </c>
      <c r="E89" s="77"/>
      <c r="F89" s="77"/>
      <c r="G89" s="77"/>
      <c r="H89" s="16" t="s">
        <v>20</v>
      </c>
      <c r="I89" s="17" t="s">
        <v>20</v>
      </c>
      <c r="J89" s="27"/>
      <c r="K89" s="19"/>
    </row>
    <row r="90" spans="1:18">
      <c r="A90" s="51"/>
      <c r="B90" s="94" t="s">
        <v>87</v>
      </c>
      <c r="C90" s="93" t="s">
        <v>63</v>
      </c>
      <c r="D90" s="54" t="s">
        <v>107</v>
      </c>
      <c r="E90" s="55">
        <v>-110</v>
      </c>
      <c r="F90" s="81">
        <f>(H81+13)*1.1</f>
        <v>30.030000000000005</v>
      </c>
      <c r="G90" s="53" t="s">
        <v>19</v>
      </c>
      <c r="H90" s="16" t="s">
        <v>20</v>
      </c>
      <c r="I90" s="17">
        <f>H81+13</f>
        <v>27.3</v>
      </c>
      <c r="J90" s="27"/>
      <c r="K90" s="19"/>
    </row>
    <row r="91" spans="1:18">
      <c r="A91" s="51"/>
      <c r="B91" s="94" t="s">
        <v>95</v>
      </c>
      <c r="C91" s="93" t="s">
        <v>94</v>
      </c>
      <c r="D91" s="54" t="s">
        <v>20</v>
      </c>
      <c r="E91" s="55">
        <v>-600</v>
      </c>
      <c r="F91" s="55">
        <f>6.5*6</f>
        <v>39</v>
      </c>
      <c r="G91" s="53" t="s">
        <v>58</v>
      </c>
      <c r="H91" s="75">
        <v>39</v>
      </c>
      <c r="I91" s="17" t="s">
        <v>20</v>
      </c>
      <c r="J91" s="27">
        <v>39</v>
      </c>
      <c r="K91" s="19"/>
      <c r="O91" s="20">
        <v>0.05</v>
      </c>
      <c r="P91" s="43">
        <v>1.2500000000000001E-2</v>
      </c>
      <c r="Q91" s="43">
        <v>2.5000000000000001E-2</v>
      </c>
      <c r="R91" s="20">
        <v>0.08</v>
      </c>
    </row>
    <row r="92" spans="1:18">
      <c r="A92" s="57"/>
      <c r="B92" s="83" t="s">
        <v>97</v>
      </c>
      <c r="C92" s="95" t="s">
        <v>94</v>
      </c>
      <c r="D92" s="60" t="s">
        <v>20</v>
      </c>
      <c r="E92" s="61">
        <v>-700</v>
      </c>
      <c r="F92" s="61">
        <f>6.5*7</f>
        <v>45.5</v>
      </c>
      <c r="G92" s="59" t="s">
        <v>19</v>
      </c>
      <c r="H92" s="16" t="s">
        <v>20</v>
      </c>
      <c r="I92" s="17">
        <v>6.5</v>
      </c>
      <c r="J92" s="27"/>
      <c r="K92" s="19"/>
      <c r="L92" s="5">
        <f>L85-SUM(H86:H92)+SUM(I86:I92)</f>
        <v>300.13000000000005</v>
      </c>
      <c r="M92" s="5">
        <f>-SUM(H86:H92)+SUM(I86:I92)</f>
        <v>44.8</v>
      </c>
      <c r="N92" s="72">
        <v>300</v>
      </c>
      <c r="O92" s="73">
        <f t="shared" ref="O92" si="8">N92*0.05</f>
        <v>15</v>
      </c>
      <c r="P92" s="74">
        <f t="shared" ref="P92" si="9">N92*0.0125</f>
        <v>3.75</v>
      </c>
      <c r="Q92" s="73">
        <f t="shared" ref="Q92" si="10">N92*0.025</f>
        <v>7.5</v>
      </c>
      <c r="R92" s="34">
        <f t="shared" ref="R92" si="11">N92*0.08</f>
        <v>24</v>
      </c>
    </row>
    <row r="93" spans="1:18">
      <c r="A93" s="10" t="s">
        <v>115</v>
      </c>
      <c r="B93" s="64" t="s">
        <v>85</v>
      </c>
      <c r="C93" s="12" t="s">
        <v>94</v>
      </c>
      <c r="D93" s="13" t="s">
        <v>20</v>
      </c>
      <c r="E93" s="65">
        <v>-350</v>
      </c>
      <c r="F93" s="71">
        <f>3.75*3.5</f>
        <v>13.125</v>
      </c>
      <c r="G93" s="15" t="s">
        <v>19</v>
      </c>
      <c r="H93" s="16" t="s">
        <v>20</v>
      </c>
      <c r="I93" s="17">
        <v>3.75</v>
      </c>
      <c r="J93" s="27"/>
      <c r="K93" s="19"/>
      <c r="L93" s="5">
        <f>L92-SUM(H93)+SUM(I93)</f>
        <v>303.88000000000005</v>
      </c>
      <c r="M93" s="5">
        <f>-SUM(H93)+SUM(I93)</f>
        <v>3.75</v>
      </c>
    </row>
    <row r="94" spans="1:18">
      <c r="A94" s="44" t="s">
        <v>116</v>
      </c>
      <c r="B94" s="96" t="s">
        <v>117</v>
      </c>
      <c r="C94" s="46" t="s">
        <v>16</v>
      </c>
      <c r="D94" s="47" t="s">
        <v>46</v>
      </c>
      <c r="E94" s="48">
        <v>-140</v>
      </c>
      <c r="F94" s="48">
        <f>13*1.4</f>
        <v>18.2</v>
      </c>
      <c r="G94" s="50" t="s">
        <v>19</v>
      </c>
      <c r="H94" s="16" t="s">
        <v>20</v>
      </c>
      <c r="I94" s="17">
        <v>13</v>
      </c>
      <c r="J94" s="27"/>
      <c r="K94" s="19"/>
    </row>
    <row r="95" spans="1:18">
      <c r="A95" s="51"/>
      <c r="B95" s="52" t="s">
        <v>87</v>
      </c>
      <c r="C95" s="53" t="s">
        <v>16</v>
      </c>
      <c r="D95" s="54" t="s">
        <v>118</v>
      </c>
      <c r="E95" s="76">
        <v>-110</v>
      </c>
      <c r="F95" s="55">
        <f>13*1.1</f>
        <v>14.3</v>
      </c>
      <c r="G95" s="17" t="s">
        <v>19</v>
      </c>
      <c r="H95" s="16" t="s">
        <v>20</v>
      </c>
      <c r="I95" s="17">
        <v>13</v>
      </c>
      <c r="J95" s="27"/>
      <c r="K95" s="19"/>
      <c r="O95" s="20">
        <v>0.05</v>
      </c>
      <c r="P95" s="43">
        <v>1.2500000000000001E-2</v>
      </c>
      <c r="Q95" s="43">
        <v>2.5000000000000001E-2</v>
      </c>
      <c r="R95" s="20">
        <v>0.08</v>
      </c>
    </row>
    <row r="96" spans="1:18">
      <c r="A96" s="57"/>
      <c r="B96" s="83" t="s">
        <v>87</v>
      </c>
      <c r="C96" s="59" t="s">
        <v>94</v>
      </c>
      <c r="D96" s="60" t="s">
        <v>20</v>
      </c>
      <c r="E96" s="61">
        <v>-270</v>
      </c>
      <c r="F96" s="97">
        <f>3.75*2.7</f>
        <v>10.125</v>
      </c>
      <c r="G96" s="63" t="s">
        <v>19</v>
      </c>
      <c r="H96" s="16" t="s">
        <v>20</v>
      </c>
      <c r="I96" s="17">
        <v>3.75</v>
      </c>
      <c r="J96" s="27"/>
      <c r="K96" s="19"/>
      <c r="L96" s="5">
        <f>L93-SUM(H94:H96)+SUM(I94:I96)</f>
        <v>333.63000000000005</v>
      </c>
      <c r="M96" s="5">
        <f>-SUM(H94:H96)+SUM(I94:I96)</f>
        <v>29.75</v>
      </c>
      <c r="N96" s="72">
        <v>320</v>
      </c>
      <c r="O96" s="73">
        <f t="shared" ref="O96" si="12">N96*0.05</f>
        <v>16</v>
      </c>
      <c r="P96" s="74">
        <f t="shared" ref="P96" si="13">N96*0.0125</f>
        <v>4</v>
      </c>
      <c r="Q96" s="73">
        <f t="shared" ref="Q96" si="14">N96*0.025</f>
        <v>8</v>
      </c>
      <c r="R96" s="34">
        <f t="shared" ref="R96" si="15">N96*0.08</f>
        <v>25.6</v>
      </c>
    </row>
    <row r="97" spans="1:18">
      <c r="A97" s="44" t="s">
        <v>119</v>
      </c>
      <c r="B97" s="45" t="s">
        <v>120</v>
      </c>
      <c r="C97" s="46" t="s">
        <v>16</v>
      </c>
      <c r="D97" s="47" t="s">
        <v>54</v>
      </c>
      <c r="E97" s="67">
        <v>-130</v>
      </c>
      <c r="F97" s="49">
        <f>16*1.3</f>
        <v>20.8</v>
      </c>
      <c r="G97" s="50" t="s">
        <v>19</v>
      </c>
      <c r="H97" s="16" t="s">
        <v>20</v>
      </c>
      <c r="I97" s="17">
        <v>16</v>
      </c>
      <c r="J97" s="27"/>
      <c r="K97" s="19"/>
    </row>
    <row r="98" spans="1:18">
      <c r="A98" s="51"/>
      <c r="B98" s="52" t="s">
        <v>95</v>
      </c>
      <c r="C98" s="53" t="s">
        <v>16</v>
      </c>
      <c r="D98" s="54" t="s">
        <v>80</v>
      </c>
      <c r="E98" s="76">
        <v>-110</v>
      </c>
      <c r="F98" s="55">
        <f>16*1.1</f>
        <v>17.600000000000001</v>
      </c>
      <c r="G98" s="17" t="s">
        <v>19</v>
      </c>
      <c r="H98" s="16" t="s">
        <v>20</v>
      </c>
      <c r="I98" s="17">
        <v>16</v>
      </c>
      <c r="J98" s="27"/>
      <c r="K98" s="19"/>
    </row>
    <row r="99" spans="1:18">
      <c r="A99" s="51"/>
      <c r="B99" s="52" t="s">
        <v>91</v>
      </c>
      <c r="C99" s="53" t="s">
        <v>16</v>
      </c>
      <c r="D99" s="54" t="s">
        <v>121</v>
      </c>
      <c r="E99" s="76">
        <v>-110</v>
      </c>
      <c r="F99" s="55">
        <f>16*1.1</f>
        <v>17.600000000000001</v>
      </c>
      <c r="G99" s="17" t="s">
        <v>19</v>
      </c>
      <c r="H99" s="16" t="s">
        <v>20</v>
      </c>
      <c r="I99" s="17">
        <v>16</v>
      </c>
      <c r="J99" s="27"/>
      <c r="K99" s="19"/>
      <c r="O99" s="20">
        <v>0.05</v>
      </c>
      <c r="P99" s="43">
        <v>1.2500000000000001E-2</v>
      </c>
      <c r="Q99" s="43">
        <v>2.5000000000000001E-2</v>
      </c>
      <c r="R99" s="20">
        <v>0.08</v>
      </c>
    </row>
    <row r="100" spans="1:18">
      <c r="A100" s="57"/>
      <c r="B100" s="58" t="s">
        <v>95</v>
      </c>
      <c r="C100" s="59" t="s">
        <v>94</v>
      </c>
      <c r="D100" s="60" t="s">
        <v>20</v>
      </c>
      <c r="E100" s="69">
        <v>-220</v>
      </c>
      <c r="F100" s="61">
        <f>8*2.2</f>
        <v>17.600000000000001</v>
      </c>
      <c r="G100" s="63" t="s">
        <v>19</v>
      </c>
      <c r="H100" s="16" t="s">
        <v>20</v>
      </c>
      <c r="I100" s="17">
        <v>8</v>
      </c>
      <c r="J100" s="27"/>
      <c r="K100" s="19"/>
      <c r="L100" s="5">
        <f>L96-SUM(H97:H100)+SUM(I97:I100)</f>
        <v>389.63000000000005</v>
      </c>
      <c r="M100" s="5">
        <f>-SUM(H97:H100)+SUM(I97:I100)</f>
        <v>56</v>
      </c>
      <c r="N100" s="72">
        <v>380</v>
      </c>
      <c r="O100" s="73">
        <f t="shared" ref="O100" si="16">N100*0.05</f>
        <v>19</v>
      </c>
      <c r="P100" s="74">
        <f t="shared" ref="P100" si="17">N100*0.0125</f>
        <v>4.75</v>
      </c>
      <c r="Q100" s="73">
        <f t="shared" ref="Q100" si="18">N100*0.025</f>
        <v>9.5</v>
      </c>
      <c r="R100" s="34">
        <f t="shared" ref="R100" si="19">N100*0.08</f>
        <v>30.400000000000002</v>
      </c>
    </row>
    <row r="101" spans="1:18">
      <c r="A101" s="44" t="s">
        <v>122</v>
      </c>
      <c r="B101" s="45" t="s">
        <v>95</v>
      </c>
      <c r="C101" s="46" t="s">
        <v>16</v>
      </c>
      <c r="D101" s="47" t="s">
        <v>123</v>
      </c>
      <c r="E101" s="67">
        <v>-110</v>
      </c>
      <c r="F101" s="48">
        <f>19*1.1</f>
        <v>20.900000000000002</v>
      </c>
      <c r="G101" s="50" t="s">
        <v>19</v>
      </c>
      <c r="H101" s="16" t="s">
        <v>20</v>
      </c>
      <c r="I101" s="17">
        <v>19</v>
      </c>
      <c r="J101" s="27"/>
      <c r="K101" s="19"/>
    </row>
    <row r="102" spans="1:18">
      <c r="A102" s="51"/>
      <c r="B102" s="52" t="s">
        <v>109</v>
      </c>
      <c r="C102" s="53" t="s">
        <v>16</v>
      </c>
      <c r="D102" s="54" t="s">
        <v>124</v>
      </c>
      <c r="E102" s="76">
        <v>-110</v>
      </c>
      <c r="F102" s="55">
        <f>19*1.1</f>
        <v>20.900000000000002</v>
      </c>
      <c r="G102" s="17" t="s">
        <v>58</v>
      </c>
      <c r="H102" s="75">
        <v>20.9</v>
      </c>
      <c r="I102" s="17" t="s">
        <v>20</v>
      </c>
      <c r="J102" s="27">
        <v>20.9</v>
      </c>
      <c r="K102" s="19"/>
      <c r="N102" s="98"/>
    </row>
    <row r="103" spans="1:18">
      <c r="A103" s="99"/>
      <c r="B103" s="52" t="s">
        <v>87</v>
      </c>
      <c r="C103" s="53" t="s">
        <v>16</v>
      </c>
      <c r="D103" s="54" t="s">
        <v>92</v>
      </c>
      <c r="E103" s="76">
        <v>-110</v>
      </c>
      <c r="F103" s="55">
        <f>19*1.1</f>
        <v>20.900000000000002</v>
      </c>
      <c r="G103" s="17" t="s">
        <v>58</v>
      </c>
      <c r="H103" s="84">
        <v>20.9</v>
      </c>
      <c r="I103" s="17" t="s">
        <v>20</v>
      </c>
      <c r="J103" s="27"/>
      <c r="K103" s="19"/>
    </row>
    <row r="104" spans="1:18">
      <c r="A104" s="99"/>
      <c r="B104" s="52" t="s">
        <v>125</v>
      </c>
      <c r="C104" s="53" t="s">
        <v>16</v>
      </c>
      <c r="D104" s="54" t="s">
        <v>124</v>
      </c>
      <c r="E104" s="76">
        <v>-110</v>
      </c>
      <c r="F104" s="55">
        <f>19*1.1</f>
        <v>20.900000000000002</v>
      </c>
      <c r="G104" s="17" t="s">
        <v>19</v>
      </c>
      <c r="H104" s="16" t="s">
        <v>20</v>
      </c>
      <c r="I104" s="17">
        <v>19</v>
      </c>
      <c r="J104" s="27"/>
      <c r="K104" s="19"/>
    </row>
    <row r="105" spans="1:18">
      <c r="A105" s="99"/>
      <c r="B105" s="52" t="s">
        <v>87</v>
      </c>
      <c r="C105" s="53" t="s">
        <v>94</v>
      </c>
      <c r="D105" s="54" t="s">
        <v>20</v>
      </c>
      <c r="E105" s="76">
        <v>-260</v>
      </c>
      <c r="F105" s="55">
        <f>4.75*2.6</f>
        <v>12.35</v>
      </c>
      <c r="G105" s="17" t="s">
        <v>19</v>
      </c>
      <c r="H105" s="16" t="s">
        <v>20</v>
      </c>
      <c r="I105" s="17">
        <v>4.75</v>
      </c>
      <c r="J105" s="27"/>
      <c r="K105" s="19"/>
    </row>
    <row r="106" spans="1:18">
      <c r="A106" s="99"/>
      <c r="B106" s="52" t="s">
        <v>95</v>
      </c>
      <c r="C106" s="53" t="s">
        <v>94</v>
      </c>
      <c r="D106" s="54" t="s">
        <v>20</v>
      </c>
      <c r="E106" s="55">
        <v>-155</v>
      </c>
      <c r="F106" s="81">
        <f>4.75*1.55</f>
        <v>7.3624999999999998</v>
      </c>
      <c r="G106" s="17" t="s">
        <v>19</v>
      </c>
      <c r="H106" s="16" t="s">
        <v>20</v>
      </c>
      <c r="I106" s="17">
        <v>4.75</v>
      </c>
      <c r="J106" s="27"/>
      <c r="K106" s="19"/>
    </row>
    <row r="107" spans="1:18">
      <c r="A107" s="99"/>
      <c r="B107" s="52" t="s">
        <v>97</v>
      </c>
      <c r="C107" s="53" t="s">
        <v>94</v>
      </c>
      <c r="D107" s="54" t="s">
        <v>20</v>
      </c>
      <c r="E107" s="55">
        <v>-400</v>
      </c>
      <c r="F107" s="55">
        <f>9.5*4</f>
        <v>38</v>
      </c>
      <c r="G107" s="17" t="s">
        <v>19</v>
      </c>
      <c r="H107" s="16" t="s">
        <v>20</v>
      </c>
      <c r="I107" s="17">
        <v>9.5</v>
      </c>
      <c r="J107" s="27"/>
      <c r="K107" s="19"/>
      <c r="O107" s="20">
        <v>0.05</v>
      </c>
      <c r="P107" s="43">
        <v>1.2500000000000001E-2</v>
      </c>
      <c r="Q107" s="43">
        <v>2.5000000000000001E-2</v>
      </c>
      <c r="R107" s="20">
        <v>0.08</v>
      </c>
    </row>
    <row r="108" spans="1:18">
      <c r="A108" s="100"/>
      <c r="B108" s="58" t="s">
        <v>79</v>
      </c>
      <c r="C108" s="59" t="s">
        <v>94</v>
      </c>
      <c r="D108" s="60" t="s">
        <v>20</v>
      </c>
      <c r="E108" s="61">
        <v>-500</v>
      </c>
      <c r="F108" s="61">
        <f>9.5*5</f>
        <v>47.5</v>
      </c>
      <c r="G108" s="63" t="s">
        <v>19</v>
      </c>
      <c r="H108" s="16" t="s">
        <v>20</v>
      </c>
      <c r="I108" s="17">
        <v>9.5</v>
      </c>
      <c r="J108" s="101"/>
      <c r="K108" s="102"/>
      <c r="L108" s="5">
        <f>L100-SUM(H101:H108)+SUM(I101:I108)</f>
        <v>414.33000000000004</v>
      </c>
      <c r="M108" s="5">
        <f>-SUM(H101:H108)+SUM(I101:I108)</f>
        <v>24.700000000000003</v>
      </c>
      <c r="N108" s="72">
        <v>400</v>
      </c>
      <c r="O108" s="73">
        <f t="shared" ref="O108" si="20">N108*0.05</f>
        <v>20</v>
      </c>
      <c r="P108" s="74">
        <f t="shared" ref="P108" si="21">N108*0.0125</f>
        <v>5</v>
      </c>
      <c r="Q108" s="73">
        <f t="shared" ref="Q108" si="22">N108*0.025</f>
        <v>10</v>
      </c>
      <c r="R108" s="34">
        <f t="shared" ref="R108" si="23">N108*0.08</f>
        <v>32</v>
      </c>
    </row>
    <row r="109" spans="1:18">
      <c r="A109" s="44" t="s">
        <v>126</v>
      </c>
      <c r="B109" s="96" t="s">
        <v>120</v>
      </c>
      <c r="C109" s="46" t="s">
        <v>16</v>
      </c>
      <c r="D109" s="47" t="s">
        <v>86</v>
      </c>
      <c r="E109" s="48">
        <v>-110</v>
      </c>
      <c r="F109" s="49">
        <f>20*1.1</f>
        <v>22</v>
      </c>
      <c r="G109" s="50" t="s">
        <v>19</v>
      </c>
      <c r="H109" s="16" t="s">
        <v>20</v>
      </c>
      <c r="I109" s="17">
        <v>20</v>
      </c>
      <c r="J109" s="27"/>
      <c r="K109" s="19"/>
    </row>
    <row r="110" spans="1:18">
      <c r="A110" s="51"/>
      <c r="B110" s="52" t="s">
        <v>97</v>
      </c>
      <c r="C110" s="53" t="s">
        <v>16</v>
      </c>
      <c r="D110" s="54" t="s">
        <v>121</v>
      </c>
      <c r="E110" s="76">
        <v>-110</v>
      </c>
      <c r="F110" s="55">
        <f>20*1.1</f>
        <v>22</v>
      </c>
      <c r="G110" s="17" t="s">
        <v>58</v>
      </c>
      <c r="H110" s="84">
        <v>22</v>
      </c>
      <c r="I110" s="17" t="s">
        <v>20</v>
      </c>
      <c r="J110" s="27"/>
      <c r="K110" s="19"/>
    </row>
    <row r="111" spans="1:18">
      <c r="A111" s="51"/>
      <c r="B111" s="52" t="s">
        <v>109</v>
      </c>
      <c r="C111" s="53" t="s">
        <v>63</v>
      </c>
      <c r="D111" s="77" t="s">
        <v>89</v>
      </c>
      <c r="E111" s="77"/>
      <c r="F111" s="77"/>
      <c r="G111" s="77"/>
      <c r="H111" s="16" t="s">
        <v>20</v>
      </c>
      <c r="I111" s="17" t="s">
        <v>20</v>
      </c>
      <c r="J111" s="27"/>
      <c r="K111" s="19"/>
    </row>
    <row r="112" spans="1:18">
      <c r="A112" s="51"/>
      <c r="B112" s="52" t="s">
        <v>87</v>
      </c>
      <c r="C112" s="53" t="s">
        <v>63</v>
      </c>
      <c r="D112" s="77" t="s">
        <v>89</v>
      </c>
      <c r="E112" s="77"/>
      <c r="F112" s="77"/>
      <c r="G112" s="77"/>
      <c r="H112" s="16" t="s">
        <v>20</v>
      </c>
      <c r="I112" s="17" t="s">
        <v>20</v>
      </c>
      <c r="J112" s="27"/>
      <c r="K112" s="19"/>
    </row>
    <row r="113" spans="1:15">
      <c r="A113" s="100"/>
      <c r="B113" s="83" t="s">
        <v>97</v>
      </c>
      <c r="C113" s="59" t="s">
        <v>94</v>
      </c>
      <c r="D113" s="60" t="s">
        <v>20</v>
      </c>
      <c r="E113" s="103" t="s">
        <v>127</v>
      </c>
      <c r="F113" s="61">
        <f>6/1.2</f>
        <v>5</v>
      </c>
      <c r="G113" s="63" t="s">
        <v>58</v>
      </c>
      <c r="H113" s="75">
        <v>5</v>
      </c>
      <c r="I113" s="17" t="s">
        <v>20</v>
      </c>
      <c r="J113" s="27">
        <v>5</v>
      </c>
      <c r="K113" s="19"/>
      <c r="L113" s="5">
        <f>L108-SUM(H109:H113)+SUM(I109:I113)</f>
        <v>407.33000000000004</v>
      </c>
      <c r="M113" s="5">
        <f>-SUM(H109:H113)+SUM(I109:I113)</f>
        <v>-7</v>
      </c>
    </row>
    <row r="114" spans="1:15">
      <c r="A114" s="10" t="s">
        <v>128</v>
      </c>
      <c r="B114" s="12" t="s">
        <v>20</v>
      </c>
      <c r="C114" s="12"/>
      <c r="D114" s="13"/>
      <c r="E114" s="66"/>
      <c r="F114" s="66"/>
      <c r="G114" s="15"/>
      <c r="H114" s="16" t="s">
        <v>20</v>
      </c>
      <c r="I114" s="17" t="s">
        <v>20</v>
      </c>
      <c r="J114" s="27"/>
      <c r="K114" s="19"/>
      <c r="N114" s="104"/>
      <c r="O114" s="104"/>
    </row>
    <row r="115" spans="1:15">
      <c r="A115" s="44" t="s">
        <v>129</v>
      </c>
      <c r="B115" s="45" t="s">
        <v>95</v>
      </c>
      <c r="C115" s="46" t="s">
        <v>16</v>
      </c>
      <c r="D115" s="47" t="s">
        <v>17</v>
      </c>
      <c r="E115" s="48">
        <v>-110</v>
      </c>
      <c r="F115" s="48">
        <f>20*1.1</f>
        <v>22</v>
      </c>
      <c r="G115" s="50" t="s">
        <v>58</v>
      </c>
      <c r="H115" s="75">
        <v>22</v>
      </c>
      <c r="I115" s="17" t="s">
        <v>20</v>
      </c>
      <c r="J115" s="27"/>
      <c r="K115" s="19"/>
    </row>
    <row r="116" spans="1:15">
      <c r="A116" s="51"/>
      <c r="B116" s="52" t="s">
        <v>79</v>
      </c>
      <c r="C116" s="53" t="s">
        <v>16</v>
      </c>
      <c r="D116" s="54" t="s">
        <v>121</v>
      </c>
      <c r="E116" s="55">
        <v>-110</v>
      </c>
      <c r="F116" s="55">
        <f>20*1.1</f>
        <v>22</v>
      </c>
      <c r="G116" s="17" t="s">
        <v>58</v>
      </c>
      <c r="H116" s="75">
        <v>22</v>
      </c>
      <c r="I116" s="17" t="s">
        <v>20</v>
      </c>
      <c r="J116" s="27"/>
      <c r="K116" s="19"/>
    </row>
    <row r="117" spans="1:15">
      <c r="A117" s="51"/>
      <c r="B117" s="52" t="s">
        <v>93</v>
      </c>
      <c r="C117" s="53" t="s">
        <v>16</v>
      </c>
      <c r="D117" s="54" t="s">
        <v>130</v>
      </c>
      <c r="E117" s="55">
        <v>-110</v>
      </c>
      <c r="F117" s="55">
        <f>20*1.1</f>
        <v>22</v>
      </c>
      <c r="G117" s="17" t="s">
        <v>19</v>
      </c>
      <c r="H117" s="16" t="s">
        <v>20</v>
      </c>
      <c r="I117" s="17">
        <v>20</v>
      </c>
      <c r="J117" s="27"/>
      <c r="K117" s="19"/>
    </row>
    <row r="118" spans="1:15">
      <c r="A118" s="51"/>
      <c r="B118" s="52" t="s">
        <v>131</v>
      </c>
      <c r="C118" s="53" t="s">
        <v>16</v>
      </c>
      <c r="D118" s="54" t="s">
        <v>132</v>
      </c>
      <c r="E118" s="76">
        <v>-110</v>
      </c>
      <c r="F118" s="55">
        <f>20*1.1</f>
        <v>22</v>
      </c>
      <c r="G118" s="17" t="s">
        <v>58</v>
      </c>
      <c r="H118" s="75">
        <v>22</v>
      </c>
      <c r="I118" s="17" t="s">
        <v>20</v>
      </c>
      <c r="J118" s="27"/>
      <c r="K118" s="19"/>
    </row>
    <row r="119" spans="1:15">
      <c r="A119" s="57"/>
      <c r="B119" s="58" t="s">
        <v>79</v>
      </c>
      <c r="C119" s="59" t="s">
        <v>94</v>
      </c>
      <c r="D119" s="60" t="s">
        <v>20</v>
      </c>
      <c r="E119" s="103" t="s">
        <v>127</v>
      </c>
      <c r="F119" s="61">
        <f>6/1.2</f>
        <v>5</v>
      </c>
      <c r="G119" s="63" t="s">
        <v>58</v>
      </c>
      <c r="H119" s="84">
        <v>5</v>
      </c>
      <c r="I119" s="17" t="s">
        <v>20</v>
      </c>
      <c r="J119" s="27"/>
      <c r="K119" s="19"/>
      <c r="L119" s="5">
        <f>L113-SUM(H115:H119)+SUM(I115:I119)</f>
        <v>356.33000000000004</v>
      </c>
      <c r="M119" s="5">
        <f>-SUM(H115:H119)+SUM(I115:I119)</f>
        <v>-51</v>
      </c>
    </row>
    <row r="120" spans="1:15">
      <c r="A120" s="105" t="s">
        <v>133</v>
      </c>
      <c r="B120" s="45" t="s">
        <v>53</v>
      </c>
      <c r="C120" s="46" t="s">
        <v>16</v>
      </c>
      <c r="D120" s="47" t="s">
        <v>134</v>
      </c>
      <c r="E120" s="67">
        <v>-130</v>
      </c>
      <c r="F120" s="48">
        <f>20*1.3</f>
        <v>26</v>
      </c>
      <c r="G120" s="50" t="s">
        <v>19</v>
      </c>
      <c r="H120" s="16" t="s">
        <v>20</v>
      </c>
      <c r="I120" s="17">
        <v>20</v>
      </c>
      <c r="J120" s="27"/>
      <c r="K120" s="19"/>
    </row>
    <row r="121" spans="1:15">
      <c r="A121" s="106"/>
      <c r="B121" s="87" t="s">
        <v>117</v>
      </c>
      <c r="C121" s="53" t="s">
        <v>63</v>
      </c>
      <c r="D121" s="54" t="s">
        <v>124</v>
      </c>
      <c r="E121" s="76">
        <v>-110</v>
      </c>
      <c r="F121" s="76">
        <f>(H115+20)*1.1</f>
        <v>46.2</v>
      </c>
      <c r="G121" s="17" t="s">
        <v>58</v>
      </c>
      <c r="H121" s="75">
        <v>46.2</v>
      </c>
      <c r="I121" s="17" t="s">
        <v>20</v>
      </c>
      <c r="J121" s="27"/>
      <c r="K121" s="19"/>
    </row>
    <row r="122" spans="1:15">
      <c r="A122" s="106"/>
      <c r="B122" s="86" t="s">
        <v>79</v>
      </c>
      <c r="C122" s="53" t="s">
        <v>63</v>
      </c>
      <c r="D122" s="77" t="s">
        <v>89</v>
      </c>
      <c r="E122" s="77"/>
      <c r="F122" s="77"/>
      <c r="G122" s="77"/>
      <c r="H122" s="16" t="s">
        <v>20</v>
      </c>
      <c r="I122" s="17" t="s">
        <v>20</v>
      </c>
      <c r="J122" s="27"/>
      <c r="K122" s="19"/>
    </row>
    <row r="123" spans="1:15">
      <c r="A123" s="106"/>
      <c r="B123" s="86" t="s">
        <v>131</v>
      </c>
      <c r="C123" s="53" t="s">
        <v>63</v>
      </c>
      <c r="D123" s="77" t="s">
        <v>89</v>
      </c>
      <c r="E123" s="77"/>
      <c r="F123" s="77"/>
      <c r="G123" s="77"/>
      <c r="H123" s="16" t="s">
        <v>20</v>
      </c>
      <c r="I123" s="17" t="s">
        <v>20</v>
      </c>
      <c r="J123" s="27"/>
      <c r="K123" s="19"/>
    </row>
    <row r="124" spans="1:15">
      <c r="A124" s="107"/>
      <c r="B124" s="58" t="s">
        <v>95</v>
      </c>
      <c r="C124" s="59" t="s">
        <v>94</v>
      </c>
      <c r="D124" s="60" t="s">
        <v>20</v>
      </c>
      <c r="E124" s="69">
        <v>-200</v>
      </c>
      <c r="F124" s="61">
        <f>5*2</f>
        <v>10</v>
      </c>
      <c r="G124" s="63" t="s">
        <v>19</v>
      </c>
      <c r="H124" s="16" t="s">
        <v>20</v>
      </c>
      <c r="I124" s="17">
        <v>5</v>
      </c>
      <c r="J124" s="27"/>
      <c r="K124" s="19"/>
      <c r="L124" s="5">
        <f>L119-SUM(H120:H124)+SUM(I120:I124)</f>
        <v>335.13000000000005</v>
      </c>
      <c r="M124" s="5">
        <f>-SUM(H120:H124)+SUM(I120:I124)</f>
        <v>-21.200000000000003</v>
      </c>
    </row>
    <row r="125" spans="1:15">
      <c r="A125" s="44" t="s">
        <v>135</v>
      </c>
      <c r="B125" s="87" t="s">
        <v>47</v>
      </c>
      <c r="C125" s="46" t="s">
        <v>63</v>
      </c>
      <c r="D125" s="47" t="s">
        <v>121</v>
      </c>
      <c r="E125" s="48">
        <v>-110</v>
      </c>
      <c r="F125" s="48">
        <f>(H116+20)*1.1</f>
        <v>46.2</v>
      </c>
      <c r="G125" s="50" t="s">
        <v>58</v>
      </c>
      <c r="H125" s="84">
        <v>46.2</v>
      </c>
      <c r="I125" s="17" t="s">
        <v>20</v>
      </c>
      <c r="J125" s="27">
        <v>46.2</v>
      </c>
      <c r="K125" s="19"/>
    </row>
    <row r="126" spans="1:15">
      <c r="A126" s="51"/>
      <c r="B126" s="87" t="s">
        <v>91</v>
      </c>
      <c r="C126" s="53" t="s">
        <v>63</v>
      </c>
      <c r="D126" s="54" t="s">
        <v>17</v>
      </c>
      <c r="E126" s="76">
        <v>-110</v>
      </c>
      <c r="F126" s="55">
        <f>(H118+20)*1.1</f>
        <v>46.2</v>
      </c>
      <c r="G126" s="17" t="s">
        <v>19</v>
      </c>
      <c r="H126" s="16" t="s">
        <v>20</v>
      </c>
      <c r="I126" s="17">
        <f>H118+20</f>
        <v>42</v>
      </c>
      <c r="J126" s="27"/>
      <c r="K126" s="19"/>
    </row>
    <row r="127" spans="1:15">
      <c r="A127" s="51"/>
      <c r="B127" s="87" t="s">
        <v>136</v>
      </c>
      <c r="C127" s="53" t="s">
        <v>16</v>
      </c>
      <c r="D127" s="54" t="s">
        <v>124</v>
      </c>
      <c r="E127" s="76">
        <v>-110</v>
      </c>
      <c r="F127" s="55">
        <f>20*1.1</f>
        <v>22</v>
      </c>
      <c r="G127" s="17" t="s">
        <v>19</v>
      </c>
      <c r="H127" s="16" t="s">
        <v>20</v>
      </c>
      <c r="I127" s="17">
        <v>20</v>
      </c>
      <c r="J127" s="27"/>
      <c r="K127" s="19"/>
    </row>
    <row r="128" spans="1:15">
      <c r="A128" s="99"/>
      <c r="B128" s="86" t="s">
        <v>68</v>
      </c>
      <c r="C128" s="53" t="s">
        <v>16</v>
      </c>
      <c r="D128" s="54" t="s">
        <v>17</v>
      </c>
      <c r="E128" s="76">
        <v>-110</v>
      </c>
      <c r="F128" s="55">
        <f>20*1.1</f>
        <v>22</v>
      </c>
      <c r="G128" s="17" t="s">
        <v>19</v>
      </c>
      <c r="H128" s="16" t="s">
        <v>20</v>
      </c>
      <c r="I128" s="17">
        <v>20</v>
      </c>
      <c r="J128" s="27"/>
      <c r="K128" s="19"/>
    </row>
    <row r="129" spans="1:13">
      <c r="A129" s="99"/>
      <c r="B129" s="86" t="s">
        <v>95</v>
      </c>
      <c r="C129" s="53" t="s">
        <v>105</v>
      </c>
      <c r="D129" s="77" t="s">
        <v>89</v>
      </c>
      <c r="E129" s="77"/>
      <c r="F129" s="77"/>
      <c r="G129" s="77"/>
      <c r="H129" s="16" t="s">
        <v>20</v>
      </c>
      <c r="I129" s="17" t="s">
        <v>20</v>
      </c>
      <c r="J129" s="27"/>
      <c r="K129" s="19"/>
    </row>
    <row r="130" spans="1:13">
      <c r="A130" s="100"/>
      <c r="B130" s="83" t="s">
        <v>87</v>
      </c>
      <c r="C130" s="59" t="s">
        <v>94</v>
      </c>
      <c r="D130" s="60" t="s">
        <v>20</v>
      </c>
      <c r="E130" s="61">
        <v>-370</v>
      </c>
      <c r="F130" s="61">
        <f>10*3.7</f>
        <v>37</v>
      </c>
      <c r="G130" s="63" t="s">
        <v>58</v>
      </c>
      <c r="H130" s="84">
        <v>37</v>
      </c>
      <c r="I130" s="17" t="s">
        <v>20</v>
      </c>
      <c r="J130" s="27"/>
      <c r="K130" s="19"/>
      <c r="L130" s="5">
        <f>L124-SUM(H125:H130)+SUM(I125:I130)</f>
        <v>333.93000000000006</v>
      </c>
      <c r="M130" s="5">
        <f>-SUM(H125:H130)+SUM(I125:I130)</f>
        <v>-1.2000000000000028</v>
      </c>
    </row>
    <row r="131" spans="1:13">
      <c r="A131" s="44" t="s">
        <v>137</v>
      </c>
      <c r="B131" s="96" t="s">
        <v>48</v>
      </c>
      <c r="C131" s="46" t="s">
        <v>16</v>
      </c>
      <c r="D131" s="47" t="s">
        <v>46</v>
      </c>
      <c r="E131" s="48">
        <v>-150</v>
      </c>
      <c r="F131" s="48">
        <f>20*1.5</f>
        <v>30</v>
      </c>
      <c r="G131" s="50" t="s">
        <v>19</v>
      </c>
      <c r="H131" s="16" t="s">
        <v>20</v>
      </c>
      <c r="I131" s="17">
        <v>20</v>
      </c>
      <c r="J131" s="27"/>
      <c r="K131" s="19"/>
    </row>
    <row r="132" spans="1:13">
      <c r="A132" s="51"/>
      <c r="B132" s="87" t="s">
        <v>138</v>
      </c>
      <c r="C132" s="108" t="s">
        <v>63</v>
      </c>
      <c r="D132" s="54" t="s">
        <v>139</v>
      </c>
      <c r="E132" s="76">
        <v>-110</v>
      </c>
      <c r="F132" s="55">
        <f>(H116+20)*1.1</f>
        <v>46.2</v>
      </c>
      <c r="G132" s="17" t="s">
        <v>58</v>
      </c>
      <c r="H132" s="84">
        <v>46.2</v>
      </c>
      <c r="I132" s="17" t="s">
        <v>20</v>
      </c>
      <c r="J132" s="27">
        <v>46.2</v>
      </c>
      <c r="K132" s="19"/>
    </row>
    <row r="133" spans="1:13">
      <c r="A133" s="57"/>
      <c r="B133" s="83" t="s">
        <v>95</v>
      </c>
      <c r="C133" s="59" t="s">
        <v>94</v>
      </c>
      <c r="D133" s="60" t="s">
        <v>20</v>
      </c>
      <c r="E133" s="61">
        <v>-475</v>
      </c>
      <c r="F133" s="61">
        <f>10*4.75</f>
        <v>47.5</v>
      </c>
      <c r="G133" s="63" t="s">
        <v>19</v>
      </c>
      <c r="H133" s="16" t="s">
        <v>20</v>
      </c>
      <c r="I133" s="17">
        <v>10</v>
      </c>
      <c r="J133" s="27"/>
      <c r="K133" s="19"/>
      <c r="L133" s="5">
        <f>L130-SUM(H131:H133)+SUM(I131:I133)</f>
        <v>317.73000000000008</v>
      </c>
      <c r="M133" s="5">
        <f>-SUM(H131:H133)+SUM(I131:I133)</f>
        <v>-16.200000000000003</v>
      </c>
    </row>
    <row r="134" spans="1:13">
      <c r="A134" s="44" t="s">
        <v>140</v>
      </c>
      <c r="B134" s="87" t="s">
        <v>141</v>
      </c>
      <c r="C134" s="108" t="s">
        <v>63</v>
      </c>
      <c r="D134" s="47" t="s">
        <v>142</v>
      </c>
      <c r="E134" s="48">
        <v>-110</v>
      </c>
      <c r="F134" s="55">
        <f>(H116+20)*1.1</f>
        <v>46.2</v>
      </c>
      <c r="G134" s="50" t="s">
        <v>58</v>
      </c>
      <c r="H134" s="84">
        <v>46.2</v>
      </c>
      <c r="I134" s="17" t="s">
        <v>20</v>
      </c>
      <c r="J134" s="27">
        <v>46.2</v>
      </c>
      <c r="K134" s="19"/>
    </row>
    <row r="135" spans="1:13">
      <c r="A135" s="99"/>
      <c r="B135" s="52" t="s">
        <v>143</v>
      </c>
      <c r="C135" s="53" t="s">
        <v>16</v>
      </c>
      <c r="D135" s="54" t="s">
        <v>144</v>
      </c>
      <c r="E135" s="76">
        <v>-110</v>
      </c>
      <c r="F135" s="55">
        <f>20*1.1</f>
        <v>22</v>
      </c>
      <c r="G135" s="17" t="s">
        <v>19</v>
      </c>
      <c r="H135" s="16" t="s">
        <v>20</v>
      </c>
      <c r="I135" s="17">
        <v>20</v>
      </c>
      <c r="J135" s="27"/>
      <c r="K135" s="19"/>
    </row>
    <row r="136" spans="1:13">
      <c r="A136" s="99"/>
      <c r="B136" s="86" t="s">
        <v>87</v>
      </c>
      <c r="C136" s="53" t="s">
        <v>16</v>
      </c>
      <c r="D136" s="109" t="s">
        <v>86</v>
      </c>
      <c r="E136" s="76">
        <v>-110</v>
      </c>
      <c r="F136" s="55">
        <f>20*1.1</f>
        <v>22</v>
      </c>
      <c r="G136" s="17" t="s">
        <v>19</v>
      </c>
      <c r="H136" s="16" t="s">
        <v>20</v>
      </c>
      <c r="I136" s="17">
        <v>20</v>
      </c>
      <c r="J136" s="27"/>
      <c r="K136" s="19"/>
    </row>
    <row r="137" spans="1:13">
      <c r="A137" s="99"/>
      <c r="B137" s="52" t="s">
        <v>145</v>
      </c>
      <c r="C137" s="53" t="s">
        <v>16</v>
      </c>
      <c r="D137" s="54" t="s">
        <v>17</v>
      </c>
      <c r="E137" s="76">
        <v>-110</v>
      </c>
      <c r="F137" s="55">
        <f>20*1.1</f>
        <v>22</v>
      </c>
      <c r="G137" s="17" t="s">
        <v>19</v>
      </c>
      <c r="H137" s="16" t="s">
        <v>20</v>
      </c>
      <c r="I137" s="17">
        <v>20</v>
      </c>
      <c r="J137" s="27"/>
      <c r="K137" s="19"/>
    </row>
    <row r="138" spans="1:13">
      <c r="A138" s="99"/>
      <c r="B138" s="52" t="s">
        <v>85</v>
      </c>
      <c r="C138" s="53" t="s">
        <v>16</v>
      </c>
      <c r="D138" s="54" t="s">
        <v>88</v>
      </c>
      <c r="E138" s="76">
        <v>-110</v>
      </c>
      <c r="F138" s="55">
        <f>20*1.1</f>
        <v>22</v>
      </c>
      <c r="G138" s="17" t="s">
        <v>19</v>
      </c>
      <c r="H138" s="16" t="s">
        <v>20</v>
      </c>
      <c r="I138" s="17">
        <v>20</v>
      </c>
      <c r="J138" s="27"/>
      <c r="K138" s="19"/>
    </row>
    <row r="139" spans="1:13">
      <c r="A139" s="99"/>
      <c r="B139" s="52" t="s">
        <v>146</v>
      </c>
      <c r="C139" s="53" t="s">
        <v>16</v>
      </c>
      <c r="D139" s="54" t="s">
        <v>121</v>
      </c>
      <c r="E139" s="76">
        <v>-110</v>
      </c>
      <c r="F139" s="55">
        <f>20*1.1</f>
        <v>22</v>
      </c>
      <c r="G139" s="17" t="s">
        <v>58</v>
      </c>
      <c r="H139" s="75">
        <v>22</v>
      </c>
      <c r="I139" s="17" t="s">
        <v>20</v>
      </c>
      <c r="J139" s="27"/>
      <c r="K139" s="19"/>
    </row>
    <row r="140" spans="1:13">
      <c r="A140" s="99"/>
      <c r="B140" s="52" t="s">
        <v>109</v>
      </c>
      <c r="C140" s="53" t="s">
        <v>94</v>
      </c>
      <c r="D140" s="54" t="s">
        <v>20</v>
      </c>
      <c r="E140" s="76">
        <v>-500</v>
      </c>
      <c r="F140" s="76">
        <f>10*5</f>
        <v>50</v>
      </c>
      <c r="G140" s="17" t="s">
        <v>19</v>
      </c>
      <c r="H140" s="16" t="s">
        <v>20</v>
      </c>
      <c r="I140" s="17">
        <v>10</v>
      </c>
      <c r="J140" s="27"/>
      <c r="K140" s="19"/>
    </row>
    <row r="141" spans="1:13">
      <c r="A141" s="99"/>
      <c r="B141" s="52" t="s">
        <v>87</v>
      </c>
      <c r="C141" s="53" t="s">
        <v>94</v>
      </c>
      <c r="D141" s="54" t="s">
        <v>20</v>
      </c>
      <c r="E141" s="76">
        <v>-130</v>
      </c>
      <c r="F141" s="76">
        <f>5*1.3</f>
        <v>6.5</v>
      </c>
      <c r="G141" s="17" t="s">
        <v>19</v>
      </c>
      <c r="H141" s="16" t="s">
        <v>20</v>
      </c>
      <c r="I141" s="17">
        <v>5</v>
      </c>
      <c r="J141" s="27"/>
      <c r="K141" s="19"/>
    </row>
    <row r="142" spans="1:13">
      <c r="A142" s="99"/>
      <c r="B142" s="52" t="s">
        <v>79</v>
      </c>
      <c r="C142" s="53" t="s">
        <v>94</v>
      </c>
      <c r="D142" s="54" t="s">
        <v>20</v>
      </c>
      <c r="E142" s="76">
        <v>-260</v>
      </c>
      <c r="F142" s="76">
        <f>5*2.6</f>
        <v>13</v>
      </c>
      <c r="G142" s="17" t="s">
        <v>58</v>
      </c>
      <c r="H142" s="84">
        <v>13</v>
      </c>
      <c r="I142" s="17" t="s">
        <v>20</v>
      </c>
      <c r="J142" s="27"/>
      <c r="K142" s="19"/>
    </row>
    <row r="143" spans="1:13">
      <c r="A143" s="99"/>
      <c r="B143" s="52" t="s">
        <v>85</v>
      </c>
      <c r="C143" s="53" t="s">
        <v>94</v>
      </c>
      <c r="D143" s="54" t="s">
        <v>20</v>
      </c>
      <c r="E143" s="55">
        <v>-155</v>
      </c>
      <c r="F143" s="76">
        <f>5*1.55</f>
        <v>7.75</v>
      </c>
      <c r="G143" s="17" t="s">
        <v>19</v>
      </c>
      <c r="H143" s="16" t="s">
        <v>20</v>
      </c>
      <c r="I143" s="17">
        <v>5</v>
      </c>
      <c r="J143" s="27"/>
      <c r="K143" s="19"/>
    </row>
    <row r="144" spans="1:13">
      <c r="A144" s="100"/>
      <c r="B144" s="83" t="s">
        <v>93</v>
      </c>
      <c r="C144" s="59" t="s">
        <v>94</v>
      </c>
      <c r="D144" s="60" t="s">
        <v>20</v>
      </c>
      <c r="E144" s="61">
        <v>-250</v>
      </c>
      <c r="F144" s="69">
        <f>5*2.3</f>
        <v>11.5</v>
      </c>
      <c r="G144" s="63" t="s">
        <v>19</v>
      </c>
      <c r="H144" s="16" t="s">
        <v>20</v>
      </c>
      <c r="I144" s="17">
        <v>5</v>
      </c>
      <c r="J144" s="27"/>
      <c r="K144" s="19"/>
      <c r="L144" s="5">
        <f>L133-SUM(H134:H144)+SUM(I134:I144)</f>
        <v>341.53000000000009</v>
      </c>
      <c r="M144" s="5">
        <f>-SUM(H134:H144)+SUM(I134:I144)</f>
        <v>23.799999999999997</v>
      </c>
    </row>
    <row r="145" spans="1:24">
      <c r="A145" s="44" t="s">
        <v>147</v>
      </c>
      <c r="B145" s="110" t="s">
        <v>87</v>
      </c>
      <c r="C145" s="111" t="s">
        <v>63</v>
      </c>
      <c r="D145" s="47" t="s">
        <v>110</v>
      </c>
      <c r="E145" s="48">
        <v>-110</v>
      </c>
      <c r="F145" s="48">
        <f>(H116+20)*1.1</f>
        <v>46.2</v>
      </c>
      <c r="G145" s="50" t="s">
        <v>58</v>
      </c>
      <c r="H145" s="84">
        <v>46.2</v>
      </c>
      <c r="I145" s="17" t="s">
        <v>20</v>
      </c>
      <c r="J145" s="27">
        <v>46.2</v>
      </c>
      <c r="K145" s="19"/>
    </row>
    <row r="146" spans="1:24">
      <c r="A146" s="99"/>
      <c r="B146" s="87" t="s">
        <v>97</v>
      </c>
      <c r="C146" s="53" t="s">
        <v>63</v>
      </c>
      <c r="D146" s="54" t="s">
        <v>88</v>
      </c>
      <c r="E146" s="76">
        <v>-110</v>
      </c>
      <c r="F146" s="55">
        <f>(H139+20)*1.1</f>
        <v>46.2</v>
      </c>
      <c r="G146" s="17" t="s">
        <v>19</v>
      </c>
      <c r="H146" s="16" t="s">
        <v>20</v>
      </c>
      <c r="I146" s="17">
        <f>H139+20</f>
        <v>42</v>
      </c>
      <c r="J146" s="27"/>
      <c r="K146" s="19"/>
    </row>
    <row r="147" spans="1:24">
      <c r="A147" s="99"/>
      <c r="B147" s="87" t="s">
        <v>148</v>
      </c>
      <c r="C147" s="53" t="s">
        <v>105</v>
      </c>
      <c r="D147" s="54" t="s">
        <v>149</v>
      </c>
      <c r="E147" s="76">
        <v>-110</v>
      </c>
      <c r="F147" s="94">
        <f>(H115+H121+20)*1.1</f>
        <v>97.02000000000001</v>
      </c>
      <c r="G147" s="17" t="s">
        <v>19</v>
      </c>
      <c r="H147" s="16" t="s">
        <v>20</v>
      </c>
      <c r="I147" s="17">
        <f>H115+H121+20</f>
        <v>88.2</v>
      </c>
      <c r="J147" s="27"/>
      <c r="K147" s="19"/>
      <c r="O147" s="20">
        <v>0.05</v>
      </c>
      <c r="P147" s="43">
        <v>1.2500000000000001E-2</v>
      </c>
      <c r="Q147" s="43">
        <v>2.5000000000000001E-2</v>
      </c>
      <c r="R147" s="20">
        <v>0.08</v>
      </c>
    </row>
    <row r="148" spans="1:24">
      <c r="A148" s="100"/>
      <c r="B148" s="83" t="s">
        <v>87</v>
      </c>
      <c r="C148" s="59" t="s">
        <v>94</v>
      </c>
      <c r="D148" s="60" t="s">
        <v>20</v>
      </c>
      <c r="E148" s="61">
        <v>-110</v>
      </c>
      <c r="F148" s="61">
        <f>5*1.1</f>
        <v>5.5</v>
      </c>
      <c r="G148" s="63" t="s">
        <v>58</v>
      </c>
      <c r="H148" s="112">
        <v>5.5</v>
      </c>
      <c r="I148" s="17"/>
      <c r="J148" s="27"/>
      <c r="K148" s="19"/>
      <c r="L148" s="5">
        <f>L144-SUM(H145:H148)+SUM(I145:I148)</f>
        <v>420.03000000000009</v>
      </c>
      <c r="M148" s="5">
        <f>-SUM(H145:H148)+SUM(I145:I148)</f>
        <v>78.499999999999986</v>
      </c>
      <c r="N148" s="72">
        <v>420</v>
      </c>
      <c r="O148" s="73">
        <f t="shared" ref="O148" si="24">N148*0.05</f>
        <v>21</v>
      </c>
      <c r="P148" s="74">
        <f t="shared" ref="P148" si="25">N148*0.0125</f>
        <v>5.25</v>
      </c>
      <c r="Q148" s="73">
        <f t="shared" ref="Q148" si="26">N148*0.025</f>
        <v>10.5</v>
      </c>
      <c r="R148" s="34">
        <f t="shared" ref="R148" si="27">N148*0.08</f>
        <v>33.6</v>
      </c>
    </row>
    <row r="149" spans="1:24">
      <c r="A149" s="113" t="s">
        <v>150</v>
      </c>
      <c r="B149" s="85" t="s">
        <v>15</v>
      </c>
      <c r="C149" s="46" t="s">
        <v>16</v>
      </c>
      <c r="D149" s="47" t="s">
        <v>151</v>
      </c>
      <c r="E149" s="67">
        <v>-130</v>
      </c>
      <c r="F149" s="48">
        <f>37.5*1.3</f>
        <v>48.75</v>
      </c>
      <c r="G149" s="50" t="s">
        <v>19</v>
      </c>
      <c r="H149" s="16" t="s">
        <v>20</v>
      </c>
      <c r="I149" s="17">
        <v>37.5</v>
      </c>
      <c r="J149" s="27"/>
      <c r="K149" s="19"/>
    </row>
    <row r="150" spans="1:24">
      <c r="A150" s="99"/>
      <c r="B150" s="86" t="s">
        <v>83</v>
      </c>
      <c r="C150" s="53" t="s">
        <v>63</v>
      </c>
      <c r="D150" s="54" t="s">
        <v>49</v>
      </c>
      <c r="E150" s="76">
        <v>-130</v>
      </c>
      <c r="F150" s="55">
        <f>(H41+16)*1.3</f>
        <v>37.700000000000003</v>
      </c>
      <c r="G150" s="17" t="s">
        <v>19</v>
      </c>
      <c r="H150" s="16" t="s">
        <v>20</v>
      </c>
      <c r="I150" s="17">
        <f>H41+16</f>
        <v>29</v>
      </c>
      <c r="J150" s="27"/>
      <c r="K150" s="19"/>
    </row>
    <row r="151" spans="1:24">
      <c r="A151" s="99"/>
      <c r="B151" s="86" t="s">
        <v>47</v>
      </c>
      <c r="C151" s="53" t="s">
        <v>16</v>
      </c>
      <c r="D151" s="54" t="s">
        <v>49</v>
      </c>
      <c r="E151" s="76">
        <v>-130</v>
      </c>
      <c r="F151" s="55">
        <f>23*1.3</f>
        <v>29.900000000000002</v>
      </c>
      <c r="G151" s="17" t="s">
        <v>19</v>
      </c>
      <c r="H151" s="16" t="s">
        <v>20</v>
      </c>
      <c r="I151" s="17">
        <v>23</v>
      </c>
      <c r="J151" s="27"/>
      <c r="K151" s="19"/>
      <c r="P151" s="114"/>
    </row>
    <row r="152" spans="1:24">
      <c r="A152" s="99"/>
      <c r="B152" s="87" t="s">
        <v>152</v>
      </c>
      <c r="C152" s="108" t="s">
        <v>63</v>
      </c>
      <c r="D152" s="54" t="s">
        <v>153</v>
      </c>
      <c r="E152" s="76">
        <v>-110</v>
      </c>
      <c r="F152" s="55">
        <f>(H116+20)*1.1</f>
        <v>46.2</v>
      </c>
      <c r="G152" s="17" t="s">
        <v>19</v>
      </c>
      <c r="H152" s="16" t="s">
        <v>20</v>
      </c>
      <c r="I152" s="17">
        <f>H116+20</f>
        <v>42</v>
      </c>
      <c r="J152" s="27"/>
      <c r="K152" s="19"/>
    </row>
    <row r="153" spans="1:24">
      <c r="A153" s="99"/>
      <c r="B153" s="86" t="s">
        <v>79</v>
      </c>
      <c r="C153" s="53" t="s">
        <v>94</v>
      </c>
      <c r="D153" s="54" t="s">
        <v>20</v>
      </c>
      <c r="E153" s="76">
        <v>-240</v>
      </c>
      <c r="F153" s="55">
        <f>11.5*2.4</f>
        <v>27.599999999999998</v>
      </c>
      <c r="G153" s="17" t="s">
        <v>58</v>
      </c>
      <c r="H153" s="16">
        <v>27.6</v>
      </c>
      <c r="I153" s="17" t="s">
        <v>20</v>
      </c>
      <c r="J153" s="27"/>
      <c r="K153" s="19"/>
    </row>
    <row r="154" spans="1:24">
      <c r="A154" s="99"/>
      <c r="B154" s="86" t="s">
        <v>95</v>
      </c>
      <c r="C154" s="53" t="s">
        <v>94</v>
      </c>
      <c r="D154" s="54" t="s">
        <v>20</v>
      </c>
      <c r="E154" s="55">
        <v>-600</v>
      </c>
      <c r="F154" s="55">
        <f>11.5*6</f>
        <v>69</v>
      </c>
      <c r="G154" s="17" t="s">
        <v>19</v>
      </c>
      <c r="H154" s="16" t="s">
        <v>20</v>
      </c>
      <c r="I154" s="17">
        <v>11.5</v>
      </c>
      <c r="J154" s="27"/>
      <c r="K154" s="19"/>
      <c r="L154" s="5" t="s">
        <v>154</v>
      </c>
      <c r="M154" s="5" t="s">
        <v>155</v>
      </c>
      <c r="N154" s="5" t="s">
        <v>156</v>
      </c>
      <c r="O154" s="5" t="s">
        <v>157</v>
      </c>
      <c r="P154" s="5" t="s">
        <v>158</v>
      </c>
      <c r="Q154" s="5" t="s">
        <v>159</v>
      </c>
      <c r="R154" s="5" t="s">
        <v>160</v>
      </c>
      <c r="S154" s="5" t="s">
        <v>161</v>
      </c>
    </row>
    <row r="155" spans="1:24">
      <c r="A155" s="100"/>
      <c r="B155" s="91" t="s">
        <v>85</v>
      </c>
      <c r="C155" s="59" t="s">
        <v>94</v>
      </c>
      <c r="D155" s="60" t="s">
        <v>20</v>
      </c>
      <c r="E155" s="61">
        <v>-600</v>
      </c>
      <c r="F155" s="61">
        <f>11.5*6</f>
        <v>69</v>
      </c>
      <c r="G155" s="63" t="s">
        <v>19</v>
      </c>
      <c r="H155" s="117" t="s">
        <v>20</v>
      </c>
      <c r="I155" s="63">
        <v>11.5</v>
      </c>
      <c r="J155" s="118"/>
      <c r="K155" s="119"/>
      <c r="L155" s="88">
        <f>L148-SUM(H149:H155)+SUM(I149:I155)</f>
        <v>546.93000000000006</v>
      </c>
      <c r="M155" s="5">
        <v>131.12</v>
      </c>
      <c r="N155" s="5">
        <f>L155-200-200+M155</f>
        <v>278.05000000000007</v>
      </c>
      <c r="O155" s="5">
        <f>L155+M155</f>
        <v>678.05000000000007</v>
      </c>
      <c r="P155" s="73">
        <f>278/2</f>
        <v>139</v>
      </c>
      <c r="Q155" s="115">
        <v>339.05</v>
      </c>
      <c r="R155" s="5">
        <v>339</v>
      </c>
      <c r="S155" s="43">
        <f>(O155*1/400)-1</f>
        <v>0.69512500000000021</v>
      </c>
    </row>
    <row r="156" spans="1:24">
      <c r="M156"/>
      <c r="S156" s="43"/>
      <c r="T156" s="5"/>
      <c r="U156" s="42"/>
      <c r="V156" s="5"/>
      <c r="W156" s="5"/>
      <c r="X156" s="5"/>
    </row>
    <row r="157" spans="1:24">
      <c r="L157"/>
      <c r="M157" s="73"/>
    </row>
    <row r="158" spans="1:24">
      <c r="L158"/>
      <c r="M158"/>
      <c r="N158" s="73"/>
      <c r="O158" s="73"/>
      <c r="P158" s="73"/>
      <c r="Q158" s="34"/>
    </row>
    <row r="159" spans="1:24">
      <c r="L159"/>
      <c r="M159"/>
    </row>
    <row r="160" spans="1:24">
      <c r="L160"/>
      <c r="M160"/>
    </row>
    <row r="161" spans="12:13">
      <c r="L161"/>
      <c r="M161"/>
    </row>
    <row r="162" spans="12:13">
      <c r="L162"/>
      <c r="M162"/>
    </row>
    <row r="163" spans="12:13">
      <c r="L163"/>
      <c r="M163"/>
    </row>
    <row r="164" spans="12:13">
      <c r="L164"/>
      <c r="M164"/>
    </row>
    <row r="165" spans="12:13">
      <c r="L165"/>
      <c r="M165"/>
    </row>
    <row r="166" spans="12:13">
      <c r="L166"/>
      <c r="M166"/>
    </row>
    <row r="167" spans="12:13">
      <c r="L167"/>
      <c r="M167"/>
    </row>
    <row r="168" spans="12:13">
      <c r="L168"/>
      <c r="M168"/>
    </row>
    <row r="169" spans="12:13">
      <c r="L169"/>
      <c r="M169"/>
    </row>
    <row r="170" spans="12:13">
      <c r="L170"/>
      <c r="M170"/>
    </row>
    <row r="171" spans="12:13">
      <c r="L171"/>
      <c r="M171"/>
    </row>
    <row r="172" spans="12:13">
      <c r="L172"/>
      <c r="M172"/>
    </row>
    <row r="173" spans="12:13">
      <c r="L173"/>
      <c r="M173"/>
    </row>
    <row r="174" spans="12:13">
      <c r="L174"/>
      <c r="M174"/>
    </row>
    <row r="175" spans="12:13">
      <c r="L175"/>
      <c r="M175"/>
    </row>
    <row r="176" spans="12:13">
      <c r="L176"/>
      <c r="M176"/>
    </row>
    <row r="177" spans="12:13">
      <c r="L177"/>
      <c r="M177"/>
    </row>
    <row r="178" spans="12:13">
      <c r="L178"/>
      <c r="M178"/>
    </row>
    <row r="179" spans="12:13">
      <c r="L179"/>
      <c r="M179"/>
    </row>
    <row r="180" spans="12:13">
      <c r="L180"/>
      <c r="M180"/>
    </row>
    <row r="181" spans="12:13">
      <c r="L181"/>
      <c r="M181"/>
    </row>
    <row r="182" spans="12:13">
      <c r="L182"/>
      <c r="M182"/>
    </row>
    <row r="183" spans="12:13">
      <c r="L183"/>
      <c r="M183"/>
    </row>
    <row r="184" spans="12:13">
      <c r="L184"/>
      <c r="M184"/>
    </row>
    <row r="185" spans="12:13">
      <c r="L185"/>
      <c r="M185"/>
    </row>
    <row r="186" spans="12:13">
      <c r="L186"/>
      <c r="M186"/>
    </row>
    <row r="187" spans="12:13">
      <c r="L187"/>
      <c r="M187"/>
    </row>
    <row r="188" spans="12:13">
      <c r="L188"/>
      <c r="M188"/>
    </row>
    <row r="189" spans="12:13">
      <c r="L189"/>
      <c r="M189"/>
    </row>
    <row r="190" spans="12:13">
      <c r="L190"/>
      <c r="M190"/>
    </row>
    <row r="191" spans="12:13">
      <c r="L191"/>
      <c r="M191"/>
    </row>
    <row r="192" spans="12:13">
      <c r="L192"/>
      <c r="M192"/>
    </row>
    <row r="193" spans="12:13">
      <c r="L193"/>
      <c r="M193"/>
    </row>
    <row r="194" spans="12:13">
      <c r="L194"/>
      <c r="M194"/>
    </row>
    <row r="195" spans="12:13">
      <c r="L195"/>
      <c r="M195"/>
    </row>
    <row r="196" spans="12:13">
      <c r="L196"/>
      <c r="M196"/>
    </row>
    <row r="197" spans="12:13">
      <c r="L197"/>
      <c r="M197"/>
    </row>
    <row r="198" spans="12:13">
      <c r="L198"/>
      <c r="M198"/>
    </row>
    <row r="199" spans="12:13">
      <c r="L199"/>
      <c r="M199"/>
    </row>
    <row r="200" spans="12:13">
      <c r="L200"/>
      <c r="M200"/>
    </row>
    <row r="201" spans="12:13">
      <c r="L201"/>
      <c r="M201"/>
    </row>
    <row r="202" spans="12:13">
      <c r="L202"/>
      <c r="M202"/>
    </row>
    <row r="203" spans="12:13">
      <c r="L203"/>
      <c r="M203"/>
    </row>
    <row r="204" spans="12:13">
      <c r="L204"/>
      <c r="M204"/>
    </row>
    <row r="205" spans="12:13">
      <c r="L205"/>
      <c r="M205"/>
    </row>
    <row r="206" spans="12:13">
      <c r="L206"/>
      <c r="M206"/>
    </row>
    <row r="207" spans="12:13">
      <c r="L207"/>
      <c r="M207"/>
    </row>
    <row r="208" spans="12:13">
      <c r="L208"/>
      <c r="M208"/>
    </row>
    <row r="209" spans="12:13">
      <c r="L209"/>
      <c r="M209"/>
    </row>
    <row r="210" spans="12:13">
      <c r="L210"/>
      <c r="M210"/>
    </row>
    <row r="211" spans="12:13">
      <c r="L211"/>
      <c r="M211"/>
    </row>
    <row r="212" spans="12:13">
      <c r="L212"/>
      <c r="M212"/>
    </row>
    <row r="213" spans="12:13">
      <c r="L213"/>
      <c r="M213"/>
    </row>
    <row r="214" spans="12:13">
      <c r="L214"/>
      <c r="M214"/>
    </row>
    <row r="215" spans="12:13">
      <c r="L215"/>
      <c r="M215"/>
    </row>
    <row r="216" spans="12:13">
      <c r="L216"/>
      <c r="M216"/>
    </row>
    <row r="217" spans="12:13">
      <c r="L217"/>
      <c r="M217"/>
    </row>
    <row r="218" spans="12:13">
      <c r="L218"/>
      <c r="M218"/>
    </row>
    <row r="219" spans="12:13">
      <c r="L219"/>
      <c r="M219"/>
    </row>
    <row r="220" spans="12:13">
      <c r="L220"/>
      <c r="M220"/>
    </row>
    <row r="221" spans="12:13">
      <c r="L221"/>
      <c r="M221"/>
    </row>
    <row r="222" spans="12:13">
      <c r="L222"/>
      <c r="M222"/>
    </row>
    <row r="223" spans="12:13">
      <c r="L223"/>
      <c r="M223"/>
    </row>
    <row r="224" spans="12:13">
      <c r="L224"/>
      <c r="M224"/>
    </row>
    <row r="225" spans="12:13">
      <c r="L225"/>
      <c r="M225"/>
    </row>
    <row r="226" spans="12:13">
      <c r="L226"/>
      <c r="M226"/>
    </row>
    <row r="227" spans="12:13">
      <c r="L227"/>
      <c r="M227"/>
    </row>
    <row r="228" spans="12:13">
      <c r="L228"/>
      <c r="M228"/>
    </row>
    <row r="229" spans="12:13">
      <c r="L229"/>
      <c r="M229"/>
    </row>
    <row r="230" spans="12:13">
      <c r="L230"/>
      <c r="M230"/>
    </row>
    <row r="231" spans="12:13">
      <c r="L231"/>
      <c r="M231"/>
    </row>
    <row r="232" spans="12:13">
      <c r="L232"/>
      <c r="M232"/>
    </row>
    <row r="233" spans="12:13">
      <c r="L233"/>
      <c r="M233"/>
    </row>
    <row r="234" spans="12:13">
      <c r="L234"/>
      <c r="M234"/>
    </row>
    <row r="235" spans="12:13">
      <c r="L235"/>
      <c r="M235"/>
    </row>
    <row r="236" spans="12:13">
      <c r="L236"/>
      <c r="M236"/>
    </row>
    <row r="237" spans="12:13">
      <c r="L237"/>
      <c r="M237"/>
    </row>
    <row r="238" spans="12:13">
      <c r="L238"/>
      <c r="M238"/>
    </row>
    <row r="239" spans="12:13">
      <c r="L239"/>
      <c r="M239"/>
    </row>
    <row r="240" spans="12:13">
      <c r="L240"/>
      <c r="M240"/>
    </row>
    <row r="241" spans="12:13">
      <c r="L241"/>
      <c r="M241"/>
    </row>
    <row r="242" spans="12:13">
      <c r="L242"/>
      <c r="M242"/>
    </row>
    <row r="243" spans="12:13">
      <c r="L243"/>
      <c r="M243"/>
    </row>
    <row r="244" spans="12:13">
      <c r="L244"/>
      <c r="M244"/>
    </row>
    <row r="245" spans="12:13">
      <c r="L245"/>
      <c r="M245"/>
    </row>
    <row r="246" spans="12:13">
      <c r="L246"/>
      <c r="M246"/>
    </row>
    <row r="247" spans="12:13">
      <c r="L247"/>
      <c r="M247"/>
    </row>
    <row r="248" spans="12:13">
      <c r="L248"/>
      <c r="M248"/>
    </row>
    <row r="249" spans="12:13">
      <c r="L249"/>
      <c r="M249"/>
    </row>
    <row r="250" spans="12:13">
      <c r="L250"/>
      <c r="M250"/>
    </row>
    <row r="251" spans="12:13">
      <c r="L251"/>
      <c r="M251"/>
    </row>
    <row r="252" spans="12:13">
      <c r="L252"/>
      <c r="M252"/>
    </row>
    <row r="253" spans="12:13">
      <c r="L253"/>
      <c r="M253"/>
    </row>
    <row r="254" spans="12:13">
      <c r="L254"/>
      <c r="M254"/>
    </row>
    <row r="255" spans="12:13">
      <c r="L255"/>
      <c r="M255"/>
    </row>
    <row r="256" spans="12:13">
      <c r="L256"/>
      <c r="M256"/>
    </row>
    <row r="257" spans="12:13">
      <c r="L257"/>
      <c r="M257"/>
    </row>
    <row r="258" spans="12:13">
      <c r="L258"/>
      <c r="M258"/>
    </row>
    <row r="259" spans="12:13">
      <c r="L259"/>
      <c r="M259"/>
    </row>
    <row r="260" spans="12:13">
      <c r="L260"/>
      <c r="M260"/>
    </row>
    <row r="261" spans="12:13">
      <c r="L261"/>
      <c r="M261"/>
    </row>
    <row r="262" spans="12:13">
      <c r="L262"/>
      <c r="M262"/>
    </row>
    <row r="263" spans="12:13">
      <c r="L263"/>
      <c r="M263"/>
    </row>
    <row r="264" spans="12:13">
      <c r="L264"/>
      <c r="M264"/>
    </row>
    <row r="265" spans="12:13">
      <c r="L265"/>
      <c r="M265"/>
    </row>
    <row r="266" spans="12:13">
      <c r="L266"/>
      <c r="M266"/>
    </row>
    <row r="267" spans="12:13">
      <c r="L267"/>
      <c r="M267"/>
    </row>
    <row r="268" spans="12:13">
      <c r="L268"/>
      <c r="M268"/>
    </row>
    <row r="269" spans="12:13">
      <c r="L269"/>
      <c r="M269"/>
    </row>
    <row r="270" spans="12:13">
      <c r="L270"/>
      <c r="M270"/>
    </row>
    <row r="271" spans="12:13">
      <c r="L271"/>
      <c r="M271"/>
    </row>
    <row r="272" spans="12:13">
      <c r="L272"/>
      <c r="M272"/>
    </row>
    <row r="273" spans="12:13">
      <c r="L273"/>
      <c r="M273"/>
    </row>
    <row r="274" spans="12:13">
      <c r="L274"/>
      <c r="M274"/>
    </row>
    <row r="275" spans="12:13">
      <c r="L275"/>
      <c r="M275"/>
    </row>
    <row r="276" spans="12:13">
      <c r="L276"/>
      <c r="M276"/>
    </row>
    <row r="277" spans="12:13">
      <c r="L277"/>
      <c r="M277"/>
    </row>
    <row r="278" spans="12:13">
      <c r="L278"/>
      <c r="M278"/>
    </row>
    <row r="279" spans="12:13">
      <c r="L279"/>
      <c r="M279"/>
    </row>
    <row r="280" spans="12:13">
      <c r="L280"/>
      <c r="M280"/>
    </row>
    <row r="281" spans="12:13">
      <c r="L281"/>
      <c r="M281"/>
    </row>
    <row r="282" spans="12:13">
      <c r="L282"/>
      <c r="M282"/>
    </row>
    <row r="283" spans="12:13">
      <c r="L283"/>
      <c r="M283"/>
    </row>
    <row r="284" spans="12:13">
      <c r="L284"/>
      <c r="M284"/>
    </row>
    <row r="285" spans="12:13">
      <c r="L285"/>
      <c r="M285"/>
    </row>
    <row r="286" spans="12:13">
      <c r="L286"/>
      <c r="M286"/>
    </row>
    <row r="287" spans="12:13">
      <c r="L287"/>
      <c r="M287"/>
    </row>
    <row r="288" spans="12:13">
      <c r="L288"/>
      <c r="M288"/>
    </row>
    <row r="289" spans="12:13">
      <c r="L289"/>
      <c r="M289"/>
    </row>
    <row r="290" spans="12:13">
      <c r="L290"/>
      <c r="M290"/>
    </row>
    <row r="291" spans="12:13">
      <c r="L291"/>
      <c r="M291"/>
    </row>
    <row r="292" spans="12:13">
      <c r="L292"/>
      <c r="M292"/>
    </row>
    <row r="293" spans="12:13">
      <c r="L293"/>
      <c r="M293"/>
    </row>
    <row r="294" spans="12:13">
      <c r="L294"/>
      <c r="M294"/>
    </row>
    <row r="295" spans="12:13">
      <c r="L295"/>
      <c r="M295"/>
    </row>
    <row r="296" spans="12:13">
      <c r="L296"/>
      <c r="M296"/>
    </row>
    <row r="297" spans="12:13">
      <c r="L297"/>
      <c r="M297"/>
    </row>
    <row r="298" spans="12:13">
      <c r="L298"/>
      <c r="M298"/>
    </row>
    <row r="299" spans="12:13">
      <c r="L299"/>
      <c r="M299"/>
    </row>
    <row r="300" spans="12:13">
      <c r="L300"/>
      <c r="M300"/>
    </row>
    <row r="301" spans="12:13">
      <c r="L301"/>
      <c r="M301"/>
    </row>
    <row r="302" spans="12:13">
      <c r="L302"/>
      <c r="M302"/>
    </row>
    <row r="303" spans="12:13">
      <c r="L303"/>
      <c r="M303"/>
    </row>
    <row r="304" spans="12:13">
      <c r="L304"/>
      <c r="M304"/>
    </row>
    <row r="305" spans="12:13">
      <c r="L305"/>
      <c r="M305"/>
    </row>
    <row r="306" spans="12:13">
      <c r="L306"/>
      <c r="M306"/>
    </row>
    <row r="307" spans="12:13">
      <c r="L307"/>
      <c r="M307"/>
    </row>
    <row r="308" spans="12:13">
      <c r="L308"/>
      <c r="M308"/>
    </row>
    <row r="309" spans="12:13">
      <c r="L309"/>
      <c r="M309"/>
    </row>
    <row r="310" spans="12:13">
      <c r="L310"/>
      <c r="M310"/>
    </row>
    <row r="311" spans="12:13">
      <c r="L311"/>
      <c r="M311"/>
    </row>
    <row r="312" spans="12:13">
      <c r="L312"/>
      <c r="M312"/>
    </row>
    <row r="313" spans="12:13">
      <c r="L313"/>
      <c r="M313"/>
    </row>
    <row r="314" spans="12:13">
      <c r="L314"/>
      <c r="M314"/>
    </row>
    <row r="315" spans="12:13">
      <c r="L315"/>
      <c r="M315"/>
    </row>
    <row r="316" spans="12:13">
      <c r="L316"/>
      <c r="M316"/>
    </row>
    <row r="317" spans="12:13">
      <c r="L317"/>
      <c r="M317"/>
    </row>
    <row r="318" spans="12:13">
      <c r="L318"/>
      <c r="M318"/>
    </row>
    <row r="319" spans="12:13">
      <c r="L319"/>
      <c r="M319"/>
    </row>
    <row r="320" spans="12:13">
      <c r="L320"/>
      <c r="M320"/>
    </row>
    <row r="321" spans="12:13">
      <c r="L321"/>
      <c r="M321"/>
    </row>
    <row r="322" spans="12:13">
      <c r="L322"/>
      <c r="M322"/>
    </row>
    <row r="323" spans="12:13">
      <c r="L323"/>
      <c r="M323"/>
    </row>
    <row r="324" spans="12:13">
      <c r="L324"/>
      <c r="M324"/>
    </row>
    <row r="325" spans="12:13">
      <c r="L325"/>
      <c r="M325"/>
    </row>
    <row r="326" spans="12:13">
      <c r="L326"/>
      <c r="M326"/>
    </row>
    <row r="327" spans="12:13">
      <c r="L327"/>
      <c r="M327"/>
    </row>
    <row r="328" spans="12:13">
      <c r="L328"/>
      <c r="M328"/>
    </row>
    <row r="329" spans="12:13">
      <c r="L329"/>
      <c r="M329"/>
    </row>
    <row r="330" spans="12:13">
      <c r="L330"/>
      <c r="M330"/>
    </row>
    <row r="331" spans="12:13">
      <c r="L331"/>
      <c r="M331"/>
    </row>
    <row r="332" spans="12:13">
      <c r="L332"/>
      <c r="M332"/>
    </row>
    <row r="333" spans="12:13">
      <c r="L333"/>
      <c r="M333"/>
    </row>
    <row r="334" spans="12:13">
      <c r="L334"/>
      <c r="M334"/>
    </row>
    <row r="335" spans="12:13">
      <c r="L335"/>
      <c r="M335"/>
    </row>
    <row r="336" spans="12:13">
      <c r="L336"/>
      <c r="M336"/>
    </row>
    <row r="337" spans="12:13">
      <c r="L337"/>
      <c r="M337"/>
    </row>
    <row r="338" spans="12:13">
      <c r="L338"/>
      <c r="M338"/>
    </row>
    <row r="339" spans="12:13">
      <c r="L339"/>
      <c r="M339"/>
    </row>
    <row r="340" spans="12:13">
      <c r="L340"/>
      <c r="M340"/>
    </row>
    <row r="341" spans="12:13">
      <c r="L341"/>
      <c r="M341"/>
    </row>
    <row r="342" spans="12:13">
      <c r="L342"/>
      <c r="M342"/>
    </row>
    <row r="343" spans="12:13">
      <c r="L343"/>
      <c r="M343"/>
    </row>
    <row r="344" spans="12:13">
      <c r="L344"/>
      <c r="M344"/>
    </row>
    <row r="345" spans="12:13">
      <c r="L345"/>
      <c r="M345"/>
    </row>
    <row r="346" spans="12:13">
      <c r="L346"/>
      <c r="M346"/>
    </row>
    <row r="347" spans="12:13">
      <c r="L347"/>
      <c r="M347"/>
    </row>
    <row r="348" spans="12:13">
      <c r="L348"/>
      <c r="M348"/>
    </row>
    <row r="349" spans="12:13">
      <c r="L349"/>
      <c r="M349"/>
    </row>
    <row r="350" spans="12:13">
      <c r="L350"/>
      <c r="M350"/>
    </row>
    <row r="351" spans="12:13">
      <c r="L351"/>
      <c r="M351"/>
    </row>
    <row r="352" spans="12:13">
      <c r="L352"/>
      <c r="M352"/>
    </row>
    <row r="353" spans="12:13">
      <c r="L353"/>
      <c r="M353"/>
    </row>
    <row r="354" spans="12:13">
      <c r="L354"/>
      <c r="M354"/>
    </row>
    <row r="355" spans="12:13">
      <c r="L355"/>
      <c r="M355"/>
    </row>
    <row r="356" spans="12:13">
      <c r="L356"/>
      <c r="M356"/>
    </row>
    <row r="357" spans="12:13">
      <c r="L357"/>
      <c r="M357"/>
    </row>
    <row r="358" spans="12:13">
      <c r="L358"/>
      <c r="M358"/>
    </row>
    <row r="359" spans="12:13">
      <c r="L359"/>
      <c r="M359"/>
    </row>
    <row r="360" spans="12:13">
      <c r="L360"/>
      <c r="M360"/>
    </row>
    <row r="361" spans="12:13">
      <c r="L361"/>
      <c r="M361"/>
    </row>
    <row r="362" spans="12:13">
      <c r="L362"/>
      <c r="M362"/>
    </row>
    <row r="363" spans="12:13">
      <c r="L363"/>
      <c r="M363"/>
    </row>
    <row r="364" spans="12:13">
      <c r="L364"/>
      <c r="M364"/>
    </row>
    <row r="365" spans="12:13">
      <c r="L365"/>
      <c r="M365"/>
    </row>
    <row r="366" spans="12:13">
      <c r="L366"/>
      <c r="M366"/>
    </row>
    <row r="367" spans="12:13">
      <c r="L367"/>
      <c r="M367"/>
    </row>
    <row r="368" spans="12:13">
      <c r="L368"/>
      <c r="M368"/>
    </row>
    <row r="369" spans="12:13">
      <c r="L369"/>
      <c r="M369"/>
    </row>
    <row r="370" spans="12:13">
      <c r="L370"/>
      <c r="M370"/>
    </row>
    <row r="371" spans="12:13">
      <c r="L371"/>
      <c r="M371"/>
    </row>
    <row r="372" spans="12:13">
      <c r="L372"/>
      <c r="M372"/>
    </row>
    <row r="373" spans="12:13">
      <c r="L373"/>
      <c r="M373"/>
    </row>
    <row r="374" spans="12:13">
      <c r="L374"/>
      <c r="M374"/>
    </row>
    <row r="375" spans="12:13">
      <c r="L375"/>
      <c r="M375"/>
    </row>
    <row r="376" spans="12:13">
      <c r="L376"/>
      <c r="M376"/>
    </row>
    <row r="377" spans="12:13">
      <c r="L377"/>
      <c r="M377"/>
    </row>
    <row r="378" spans="12:13">
      <c r="L378"/>
      <c r="M378"/>
    </row>
    <row r="379" spans="12:13">
      <c r="L379"/>
      <c r="M379"/>
    </row>
    <row r="380" spans="12:13">
      <c r="L380"/>
      <c r="M380"/>
    </row>
    <row r="381" spans="12:13">
      <c r="L381"/>
      <c r="M381"/>
    </row>
    <row r="382" spans="12:13">
      <c r="L382"/>
      <c r="M382"/>
    </row>
    <row r="383" spans="12:13">
      <c r="L383"/>
      <c r="M383"/>
    </row>
    <row r="384" spans="12:13">
      <c r="L384"/>
      <c r="M384"/>
    </row>
    <row r="385" spans="12:13">
      <c r="L385"/>
      <c r="M385"/>
    </row>
    <row r="386" spans="12:13">
      <c r="L386"/>
      <c r="M386"/>
    </row>
    <row r="387" spans="12:13">
      <c r="L387"/>
      <c r="M387"/>
    </row>
    <row r="388" spans="12:13">
      <c r="L388"/>
      <c r="M388"/>
    </row>
    <row r="389" spans="12:13">
      <c r="L389"/>
      <c r="M389"/>
    </row>
    <row r="390" spans="12:13">
      <c r="L390"/>
      <c r="M390"/>
    </row>
    <row r="391" spans="12:13">
      <c r="L391"/>
      <c r="M391"/>
    </row>
    <row r="392" spans="12:13">
      <c r="L392"/>
      <c r="M392"/>
    </row>
    <row r="393" spans="12:13">
      <c r="L393"/>
      <c r="M393"/>
    </row>
    <row r="394" spans="12:13">
      <c r="L394"/>
      <c r="M394"/>
    </row>
    <row r="395" spans="12:13">
      <c r="L395"/>
      <c r="M395"/>
    </row>
    <row r="396" spans="12:13">
      <c r="L396"/>
      <c r="M396"/>
    </row>
    <row r="397" spans="12:13">
      <c r="L397"/>
      <c r="M397"/>
    </row>
    <row r="398" spans="12:13">
      <c r="L398"/>
      <c r="M398"/>
    </row>
    <row r="399" spans="12:13">
      <c r="L399"/>
      <c r="M399"/>
    </row>
    <row r="400" spans="12:13">
      <c r="L400"/>
      <c r="M400"/>
    </row>
    <row r="401" spans="12:13">
      <c r="L401"/>
      <c r="M401"/>
    </row>
    <row r="402" spans="12:13">
      <c r="L402"/>
      <c r="M402"/>
    </row>
    <row r="403" spans="12:13">
      <c r="L403"/>
      <c r="M403"/>
    </row>
    <row r="404" spans="12:13">
      <c r="L404"/>
      <c r="M404"/>
    </row>
    <row r="405" spans="12:13">
      <c r="L405"/>
      <c r="M405"/>
    </row>
    <row r="406" spans="12:13">
      <c r="L406"/>
      <c r="M406"/>
    </row>
    <row r="407" spans="12:13">
      <c r="L407"/>
      <c r="M407"/>
    </row>
    <row r="408" spans="12:13">
      <c r="L408"/>
      <c r="M408"/>
    </row>
    <row r="409" spans="12:13">
      <c r="L409"/>
      <c r="M409"/>
    </row>
    <row r="410" spans="12:13">
      <c r="L410"/>
      <c r="M410"/>
    </row>
    <row r="411" spans="12:13">
      <c r="L411"/>
      <c r="M411"/>
    </row>
    <row r="412" spans="12:13">
      <c r="L412"/>
      <c r="M412"/>
    </row>
    <row r="413" spans="12:13">
      <c r="L413"/>
      <c r="M413"/>
    </row>
    <row r="414" spans="12:13">
      <c r="L414"/>
      <c r="M414"/>
    </row>
    <row r="415" spans="12:13">
      <c r="L415"/>
      <c r="M415"/>
    </row>
    <row r="416" spans="12:13">
      <c r="L416"/>
      <c r="M416"/>
    </row>
    <row r="417" spans="12:13">
      <c r="L417"/>
      <c r="M417"/>
    </row>
    <row r="418" spans="12:13">
      <c r="L418"/>
      <c r="M418"/>
    </row>
    <row r="419" spans="12:13">
      <c r="L419"/>
    </row>
  </sheetData>
  <mergeCells count="14">
    <mergeCell ref="D122:G122"/>
    <mergeCell ref="D123:G123"/>
    <mergeCell ref="D129:G129"/>
    <mergeCell ref="D57:G57"/>
    <mergeCell ref="D66:G66"/>
    <mergeCell ref="D70:G70"/>
    <mergeCell ref="D89:G89"/>
    <mergeCell ref="D111:G111"/>
    <mergeCell ref="D112:G112"/>
    <mergeCell ref="A2:K2"/>
    <mergeCell ref="D44:G44"/>
    <mergeCell ref="D45:G45"/>
    <mergeCell ref="D46:G46"/>
    <mergeCell ref="D48:G48"/>
  </mergeCells>
  <pageMargins left="0.7" right="0.7" top="0.75" bottom="0.75" header="0.3" footer="0.3"/>
  <pageSetup paperSize="9" orientation="portrait" horizontalDpi="300" verticalDpi="3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NBA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</dc:creator>
  <cp:lastModifiedBy>Gabriel</cp:lastModifiedBy>
  <dcterms:created xsi:type="dcterms:W3CDTF">2011-02-27T21:03:44Z</dcterms:created>
  <dcterms:modified xsi:type="dcterms:W3CDTF">2011-02-27T21:08:42Z</dcterms:modified>
</cp:coreProperties>
</file>